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 defaultThemeVersion="124226"/>
  <bookViews>
    <workbookView xWindow="-6075" yWindow="960" windowWidth="12960" windowHeight="9075" tabRatio="753" firstSheet="1" activeTab="4"/>
  </bookViews>
  <sheets>
    <sheet name="DADOS" sheetId="13" r:id="rId1"/>
    <sheet name="BDI" sheetId="19" r:id="rId2"/>
    <sheet name="BDI DIF" sheetId="21" state="hidden" r:id="rId3"/>
    <sheet name="REFERÊNCIAS" sheetId="14" r:id="rId4"/>
    <sheet name="PLANILHA" sheetId="1" r:id="rId5"/>
    <sheet name="CRONOGRAMA" sheetId="3" r:id="rId6"/>
    <sheet name="COMPOSIÇÕES" sheetId="7" state="hidden" r:id="rId7"/>
    <sheet name="COTAÇÕES" sheetId="9" state="hidden" r:id="rId8"/>
    <sheet name="MEMÓRIA" sheetId="18" r:id="rId9"/>
    <sheet name="DADOS E VALIDAÇÕES (ocultar)" sheetId="15" state="hidden" r:id="rId10"/>
  </sheets>
  <externalReferences>
    <externalReference r:id="rId11"/>
    <externalReference r:id="rId12"/>
  </externalReferences>
  <definedNames>
    <definedName name="_xlnm._FilterDatabase" localSheetId="5" hidden="1">CRONOGRAMA!$A$8:$P$8</definedName>
    <definedName name="_xlnm._FilterDatabase" localSheetId="4" hidden="1">PLANILHA!$A$12:$I$12</definedName>
    <definedName name="_xlnm.Print_Area" localSheetId="1">BDI!$B$1:$K$59</definedName>
    <definedName name="_xlnm.Print_Area" localSheetId="2">'BDI DIF'!$B$1:$K$59</definedName>
    <definedName name="_xlnm.Print_Area" localSheetId="6">COMPOSIÇÕES!$A$1:$K$53</definedName>
    <definedName name="_xlnm.Print_Area" localSheetId="7">COTAÇÕES!$A$1:$G$74</definedName>
    <definedName name="_xlnm.Print_Area" localSheetId="5">CRONOGRAMA!$B$1:$P$57</definedName>
    <definedName name="_xlnm.Print_Area" localSheetId="0">DADOS!$A$1:$B$21</definedName>
    <definedName name="_xlnm.Print_Area" localSheetId="8">MEMÓRIA!$C$1:$H$156</definedName>
    <definedName name="_xlnm.Print_Area" localSheetId="4">PLANILHA!$B$1:$K$181</definedName>
    <definedName name="ART_RRT">DADOS!$B$16</definedName>
    <definedName name="BASE_CPOS_I">REFERÊNCIAS!#REF!</definedName>
    <definedName name="BASE_CPOS_SERV">REFERÊNCIAS!#REF!</definedName>
    <definedName name="BASE_EDIF">REFERÊNCIAS!$C$10</definedName>
    <definedName name="BASE_EDIF_INFRA">REFERÊNCIAS!$C$12</definedName>
    <definedName name="BASE_SINAPI">REFERÊNCIAS!$C$8</definedName>
    <definedName name="BASE_SINAPI_I">REFERÊNCIAS!$C$9</definedName>
    <definedName name="BASE_TCPO">REFERÊNCIAS!#REF!</definedName>
    <definedName name="BDI">REFERÊNCIAS!$B$4</definedName>
    <definedName name="BOOLEANA">'DADOS E VALIDAÇÕES (ocultar)'!$D$17:$D$19</definedName>
    <definedName name="BuiltIn_Print_Area" localSheetId="5">#REF!</definedName>
    <definedName name="BuiltIn_Print_Area" localSheetId="4">#REF!</definedName>
    <definedName name="BuiltIn_Print_Area">#REF!</definedName>
    <definedName name="BuiltIn_Print_Area___0" localSheetId="5">#REF!</definedName>
    <definedName name="BuiltIn_Print_Area___0" localSheetId="4">#REF!</definedName>
    <definedName name="BuiltIn_Print_Area___0">#REF!</definedName>
    <definedName name="BuiltIn_Print_Titles" localSheetId="5">#REF!</definedName>
    <definedName name="BuiltIn_Print_Titles" localSheetId="4">#REF!</definedName>
    <definedName name="BuiltIn_Print_Titles">#REF!</definedName>
    <definedName name="BuiltIn_Print_Titles___0" localSheetId="5">#REF!</definedName>
    <definedName name="BuiltIn_Print_Titles___0" localSheetId="4">#REF!</definedName>
    <definedName name="BuiltIn_Print_Titles___0">#REF!</definedName>
    <definedName name="CAU_CREA">DADOS!$B$15</definedName>
    <definedName name="CUSTOS_ANALITICO">REFERÊNCIAS!$D$8</definedName>
    <definedName name="DATA_LICIT">#REF!</definedName>
    <definedName name="EMPR_VENCEDORA">#REF!</definedName>
    <definedName name="execução">[1]INFO!$D$22:$D$23</definedName>
    <definedName name="LISTA_SECRETARIAS">'DADOS E VALIDAÇÕES (ocultar)'!$A$14:$A$29</definedName>
    <definedName name="LOCAL">DADOS!$B$3</definedName>
    <definedName name="NUM_PROC_LIC">#REF!</definedName>
    <definedName name="OBJETO">DADOS!$B$2</definedName>
    <definedName name="ORIGEM" localSheetId="4">PLANILHA!#REF!</definedName>
    <definedName name="PLAN_COMP_SINAPI">REFERÊNCIAS!$E$8</definedName>
    <definedName name="PLAN_INS_CPOS">REFERÊNCIAS!#REF!</definedName>
    <definedName name="PLAN_INS_EDIF">REFERÊNCIAS!$E$11</definedName>
    <definedName name="PLAN_INS_INFRA">REFERÊNCIAS!$E$13</definedName>
    <definedName name="PLAN_INS_SINAPI">REFERÊNCIAS!$E$9</definedName>
    <definedName name="PLAN_SERV_CPOS">REFERÊNCIAS!#REF!</definedName>
    <definedName name="PLAN_SERV_EDIF">REFERÊNCIAS!$E$10</definedName>
    <definedName name="PLAN_SERV_INFRA">REFERÊNCIAS!$E$12</definedName>
    <definedName name="PRECOS_INS_CPOS">REFERÊNCIAS!#REF!</definedName>
    <definedName name="PRECOS_INS_EDIF">REFERÊNCIAS!$D$11</definedName>
    <definedName name="PRECOS_INS_INFRA">REFERÊNCIAS!$D$13</definedName>
    <definedName name="PRECOS_INSUMOS">REFERÊNCIAS!$D$9</definedName>
    <definedName name="PRECOS_SERV_CPOS">REFERÊNCIAS!#REF!</definedName>
    <definedName name="PRECOS_SERV_EDIF">REFERÊNCIAS!$D$10</definedName>
    <definedName name="PRECOS_SERV_INFRA">REFERÊNCIAS!$D$12</definedName>
    <definedName name="previdenciário">[1]INFO!$E$22:$E$23</definedName>
    <definedName name="Print_Area" localSheetId="1">BDI!$B$3:$K$50</definedName>
    <definedName name="Print_Area" localSheetId="2">'BDI DIF'!$B$3:$K$50</definedName>
    <definedName name="PROC_LICITATÓRIO">DADOS!$B$6</definedName>
    <definedName name="PROCESSO">DADOS!$B$4</definedName>
    <definedName name="PROJETISTA">DADOS!$B$14</definedName>
    <definedName name="PROPOSTA">DADOS!$B$4</definedName>
    <definedName name="REFERÊNCIA_CAD">DADOS!$B$11</definedName>
    <definedName name="REVISÃO">DADOS!$B$10</definedName>
    <definedName name="SECRETARIA_REQUISITANTE">DADOS!$B$5</definedName>
    <definedName name="Sigilo">'DADOS E VALIDAÇÕES (ocultar)'!$A$2:$A$5</definedName>
    <definedName name="SIM_NÃO">'DADOS E VALIDAÇÕES (ocultar)'!$D$14:$D$15</definedName>
    <definedName name="TIPO_LIC">'DADOS E VALIDAÇÕES (ocultar)'!$A$8:$A$11</definedName>
    <definedName name="tipoobra" localSheetId="2">'BDI DIF'!$N$39:$N$45</definedName>
    <definedName name="tipoobra">BDI!$N$39:$N$45</definedName>
    <definedName name="TipoOrçamento">"BASE"</definedName>
    <definedName name="_xlnm.Print_Titles" localSheetId="5">CRONOGRAMA!$3:$7</definedName>
    <definedName name="_xlnm.Print_Titles" localSheetId="4">PLANILHA!$6:$12</definedName>
    <definedName name="X">'DADOS E VALIDAÇÕES (ocultar)'!$D$21:$D$22</definedName>
  </definedName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/>
  <c r="I35" l="1"/>
  <c r="J35" s="1"/>
  <c r="K35"/>
  <c r="L35"/>
  <c r="I170" l="1"/>
  <c r="I169"/>
  <c r="J169" s="1"/>
  <c r="J3" l="1"/>
  <c r="J170"/>
  <c r="J171" s="1"/>
  <c r="J95"/>
  <c r="U171"/>
  <c r="I146"/>
  <c r="J146" s="1"/>
  <c r="I147"/>
  <c r="J147" s="1"/>
  <c r="I148"/>
  <c r="J148" s="1"/>
  <c r="I149"/>
  <c r="J149" s="1"/>
  <c r="I150"/>
  <c r="J150" s="1"/>
  <c r="I151"/>
  <c r="J151" s="1"/>
  <c r="I152"/>
  <c r="J152" s="1"/>
  <c r="I153"/>
  <c r="J153" s="1"/>
  <c r="I154"/>
  <c r="J154" s="1"/>
  <c r="I155"/>
  <c r="J155" s="1"/>
  <c r="I156"/>
  <c r="J156" s="1"/>
  <c r="I157"/>
  <c r="J157" s="1"/>
  <c r="I158"/>
  <c r="J158" s="1"/>
  <c r="I159"/>
  <c r="J159" s="1"/>
  <c r="I160"/>
  <c r="J160" s="1"/>
  <c r="I161"/>
  <c r="J161" s="1"/>
  <c r="I162"/>
  <c r="J162" s="1"/>
  <c r="I163"/>
  <c r="J163" s="1"/>
  <c r="I164"/>
  <c r="J164" s="1"/>
  <c r="I165"/>
  <c r="J165" s="1"/>
  <c r="I166"/>
  <c r="J166" s="1"/>
  <c r="I145"/>
  <c r="J145" s="1"/>
  <c r="I142"/>
  <c r="J142" s="1"/>
  <c r="I141"/>
  <c r="J141" s="1"/>
  <c r="I140"/>
  <c r="J140" s="1"/>
  <c r="I139"/>
  <c r="J139" s="1"/>
  <c r="I138"/>
  <c r="J138" s="1"/>
  <c r="I130"/>
  <c r="J130" s="1"/>
  <c r="I131"/>
  <c r="J131" s="1"/>
  <c r="I132"/>
  <c r="J132" s="1"/>
  <c r="I133"/>
  <c r="J133" s="1"/>
  <c r="I134"/>
  <c r="J134" s="1"/>
  <c r="I135"/>
  <c r="J135" s="1"/>
  <c r="I129"/>
  <c r="J129" s="1"/>
  <c r="I126"/>
  <c r="J126" s="1"/>
  <c r="I125"/>
  <c r="J125" s="1"/>
  <c r="I108"/>
  <c r="J108" s="1"/>
  <c r="I109"/>
  <c r="J109" s="1"/>
  <c r="I110"/>
  <c r="J110" s="1"/>
  <c r="I111"/>
  <c r="J111" s="1"/>
  <c r="I112"/>
  <c r="J112" s="1"/>
  <c r="I113"/>
  <c r="J113" s="1"/>
  <c r="I114"/>
  <c r="J114" s="1"/>
  <c r="I115"/>
  <c r="J115" s="1"/>
  <c r="I116"/>
  <c r="J116" s="1"/>
  <c r="I117"/>
  <c r="J117" s="1"/>
  <c r="I118"/>
  <c r="J118" s="1"/>
  <c r="I119"/>
  <c r="J119" s="1"/>
  <c r="I120"/>
  <c r="J120" s="1"/>
  <c r="I121"/>
  <c r="J121" s="1"/>
  <c r="I122"/>
  <c r="J122" s="1"/>
  <c r="I107"/>
  <c r="J107" s="1"/>
  <c r="I102"/>
  <c r="J102" s="1"/>
  <c r="I103"/>
  <c r="J103" s="1"/>
  <c r="I104"/>
  <c r="J104" s="1"/>
  <c r="I101"/>
  <c r="J101" s="1"/>
  <c r="I96"/>
  <c r="J96" s="1"/>
  <c r="I97"/>
  <c r="J97" s="1"/>
  <c r="I98"/>
  <c r="J98" s="1"/>
  <c r="I94"/>
  <c r="J94" s="1"/>
  <c r="I85"/>
  <c r="J85" s="1"/>
  <c r="I86"/>
  <c r="J86" s="1"/>
  <c r="I87"/>
  <c r="J87" s="1"/>
  <c r="I88"/>
  <c r="J88" s="1"/>
  <c r="I89"/>
  <c r="J89" s="1"/>
  <c r="I90"/>
  <c r="J90" s="1"/>
  <c r="I91"/>
  <c r="J91" s="1"/>
  <c r="I84"/>
  <c r="J84" s="1"/>
  <c r="I80"/>
  <c r="J80" s="1"/>
  <c r="I81"/>
  <c r="J81" s="1"/>
  <c r="I79"/>
  <c r="J79" s="1"/>
  <c r="I73"/>
  <c r="J73" s="1"/>
  <c r="I74"/>
  <c r="J74" s="1"/>
  <c r="I75"/>
  <c r="J75" s="1"/>
  <c r="I76"/>
  <c r="J76" s="1"/>
  <c r="I72"/>
  <c r="J72" s="1"/>
  <c r="I63"/>
  <c r="J63" s="1"/>
  <c r="I64"/>
  <c r="J64" s="1"/>
  <c r="I65"/>
  <c r="J65" s="1"/>
  <c r="I66"/>
  <c r="J66" s="1"/>
  <c r="I67"/>
  <c r="J67" s="1"/>
  <c r="I68"/>
  <c r="J68" s="1"/>
  <c r="I69"/>
  <c r="J69" s="1"/>
  <c r="I62"/>
  <c r="J62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51"/>
  <c r="J51" s="1"/>
  <c r="I46"/>
  <c r="J46" s="1"/>
  <c r="I47"/>
  <c r="J47" s="1"/>
  <c r="I48"/>
  <c r="J48" s="1"/>
  <c r="I45"/>
  <c r="J45" s="1"/>
  <c r="I39"/>
  <c r="J39" s="1"/>
  <c r="I40"/>
  <c r="J40" s="1"/>
  <c r="I41"/>
  <c r="J41" s="1"/>
  <c r="I42"/>
  <c r="J42" s="1"/>
  <c r="I38"/>
  <c r="J38" s="1"/>
  <c r="I32"/>
  <c r="J32" s="1"/>
  <c r="I33"/>
  <c r="J33" s="1"/>
  <c r="I34"/>
  <c r="I31"/>
  <c r="J31" s="1"/>
  <c r="I25"/>
  <c r="J25" s="1"/>
  <c r="I26"/>
  <c r="J26" s="1"/>
  <c r="I27"/>
  <c r="J27" s="1"/>
  <c r="I28"/>
  <c r="J28" s="1"/>
  <c r="I24"/>
  <c r="J24" s="1"/>
  <c r="I18"/>
  <c r="J18" s="1"/>
  <c r="I19"/>
  <c r="J19" s="1"/>
  <c r="I20"/>
  <c r="J20" s="1"/>
  <c r="I21"/>
  <c r="J21" s="1"/>
  <c r="I17"/>
  <c r="J17" s="1"/>
  <c r="I14"/>
  <c r="J34" l="1"/>
  <c r="J36" s="1"/>
  <c r="D15" i="3" s="1"/>
  <c r="J127" i="1"/>
  <c r="D37" i="3" s="1"/>
  <c r="J14" i="1"/>
  <c r="J167"/>
  <c r="D43" i="3" s="1"/>
  <c r="J143" i="1"/>
  <c r="D41" i="3" s="1"/>
  <c r="J136" i="1"/>
  <c r="D39" i="3" s="1"/>
  <c r="J123" i="1"/>
  <c r="D35" i="3" s="1"/>
  <c r="J105" i="1"/>
  <c r="D33" i="3" s="1"/>
  <c r="J99" i="1"/>
  <c r="D31" i="3" s="1"/>
  <c r="J92" i="1"/>
  <c r="D29" i="3" s="1"/>
  <c r="J82" i="1"/>
  <c r="D27" i="3" s="1"/>
  <c r="J77" i="1"/>
  <c r="D25" i="3" s="1"/>
  <c r="J60" i="1"/>
  <c r="D21" i="3" s="1"/>
  <c r="J49" i="1"/>
  <c r="D19" i="3" s="1"/>
  <c r="J43" i="1"/>
  <c r="D17" i="3" s="1"/>
  <c r="J29" i="1"/>
  <c r="D13" i="3" s="1"/>
  <c r="F13" s="1"/>
  <c r="J22" i="1"/>
  <c r="J70"/>
  <c r="D23" i="3" s="1"/>
  <c r="J23" s="1"/>
  <c r="J24" s="1"/>
  <c r="K28"/>
  <c r="O10"/>
  <c r="D45"/>
  <c r="C9"/>
  <c r="C173" i="1"/>
  <c r="H43" i="19"/>
  <c r="O46" i="3"/>
  <c r="M46"/>
  <c r="K46"/>
  <c r="I46"/>
  <c r="G46"/>
  <c r="E46"/>
  <c r="O44"/>
  <c r="M44"/>
  <c r="K44"/>
  <c r="I44"/>
  <c r="G44"/>
  <c r="E44"/>
  <c r="O42"/>
  <c r="M42"/>
  <c r="K42"/>
  <c r="I42"/>
  <c r="G42"/>
  <c r="E42"/>
  <c r="O40"/>
  <c r="M40"/>
  <c r="K40"/>
  <c r="I40"/>
  <c r="G40"/>
  <c r="E40"/>
  <c r="O38"/>
  <c r="M38"/>
  <c r="K38"/>
  <c r="I38"/>
  <c r="G38"/>
  <c r="E38"/>
  <c r="O36"/>
  <c r="M36"/>
  <c r="K36"/>
  <c r="I36"/>
  <c r="G36"/>
  <c r="E36"/>
  <c r="O34"/>
  <c r="M34"/>
  <c r="K34"/>
  <c r="I34"/>
  <c r="G34"/>
  <c r="E34"/>
  <c r="O32"/>
  <c r="M32"/>
  <c r="K32"/>
  <c r="I32"/>
  <c r="G32"/>
  <c r="E32"/>
  <c r="O30"/>
  <c r="M30"/>
  <c r="K30"/>
  <c r="I30"/>
  <c r="G30"/>
  <c r="E30"/>
  <c r="O28"/>
  <c r="M28"/>
  <c r="I28"/>
  <c r="G28"/>
  <c r="E28"/>
  <c r="O26"/>
  <c r="M26"/>
  <c r="K26"/>
  <c r="I26"/>
  <c r="G26"/>
  <c r="E26"/>
  <c r="O24"/>
  <c r="M24"/>
  <c r="K24"/>
  <c r="I24"/>
  <c r="G24"/>
  <c r="E24"/>
  <c r="O22"/>
  <c r="M22"/>
  <c r="K22"/>
  <c r="I22"/>
  <c r="G22"/>
  <c r="E22"/>
  <c r="O20"/>
  <c r="M20"/>
  <c r="K20"/>
  <c r="I20"/>
  <c r="G20"/>
  <c r="E20"/>
  <c r="O18"/>
  <c r="M18"/>
  <c r="K18"/>
  <c r="I18"/>
  <c r="G18"/>
  <c r="E18"/>
  <c r="O16"/>
  <c r="M16"/>
  <c r="K16"/>
  <c r="I16"/>
  <c r="G16"/>
  <c r="E16"/>
  <c r="O14"/>
  <c r="M14"/>
  <c r="K14"/>
  <c r="I14"/>
  <c r="G14"/>
  <c r="E14"/>
  <c r="M10"/>
  <c r="K10"/>
  <c r="I10"/>
  <c r="G10"/>
  <c r="E10"/>
  <c r="O12"/>
  <c r="M12"/>
  <c r="K12"/>
  <c r="I12"/>
  <c r="G12"/>
  <c r="E12"/>
  <c r="L15" i="1"/>
  <c r="L16"/>
  <c r="L17"/>
  <c r="K18"/>
  <c r="L18"/>
  <c r="K19"/>
  <c r="L19"/>
  <c r="K20"/>
  <c r="L20"/>
  <c r="K21"/>
  <c r="L21"/>
  <c r="L22"/>
  <c r="L23"/>
  <c r="K24"/>
  <c r="L24"/>
  <c r="L25"/>
  <c r="L26"/>
  <c r="L28"/>
  <c r="K29"/>
  <c r="L29"/>
  <c r="K30"/>
  <c r="L30"/>
  <c r="K31"/>
  <c r="L31"/>
  <c r="K32"/>
  <c r="L32"/>
  <c r="L33"/>
  <c r="K34"/>
  <c r="L34"/>
  <c r="L36"/>
  <c r="K37"/>
  <c r="L37"/>
  <c r="L38"/>
  <c r="L39"/>
  <c r="K40"/>
  <c r="L40"/>
  <c r="K41"/>
  <c r="L41"/>
  <c r="K42"/>
  <c r="L42"/>
  <c r="L43"/>
  <c r="L44"/>
  <c r="L45"/>
  <c r="L46"/>
  <c r="L47"/>
  <c r="K48"/>
  <c r="L48"/>
  <c r="L49"/>
  <c r="L50"/>
  <c r="L52"/>
  <c r="L53"/>
  <c r="L54"/>
  <c r="K55"/>
  <c r="L55"/>
  <c r="L56"/>
  <c r="L57"/>
  <c r="L58"/>
  <c r="L59"/>
  <c r="L60"/>
  <c r="K61"/>
  <c r="L61"/>
  <c r="K62"/>
  <c r="L62"/>
  <c r="L63"/>
  <c r="L64"/>
  <c r="L65"/>
  <c r="K66"/>
  <c r="L66"/>
  <c r="K67"/>
  <c r="L67"/>
  <c r="K68"/>
  <c r="L68"/>
  <c r="L69"/>
  <c r="K70"/>
  <c r="L70"/>
  <c r="L71"/>
  <c r="L72"/>
  <c r="L73"/>
  <c r="K74"/>
  <c r="L74"/>
  <c r="L75"/>
  <c r="L77"/>
  <c r="L78"/>
  <c r="K79"/>
  <c r="L79"/>
  <c r="L80"/>
  <c r="L81"/>
  <c r="L82"/>
  <c r="K83"/>
  <c r="L83"/>
  <c r="K84"/>
  <c r="L84"/>
  <c r="K85"/>
  <c r="L85"/>
  <c r="L86"/>
  <c r="L87"/>
  <c r="L88"/>
  <c r="L89"/>
  <c r="L90"/>
  <c r="K91"/>
  <c r="L91"/>
  <c r="L92"/>
  <c r="K93"/>
  <c r="L93"/>
  <c r="L95"/>
  <c r="L96"/>
  <c r="K97"/>
  <c r="L97"/>
  <c r="L98"/>
  <c r="L99"/>
  <c r="L100"/>
  <c r="L102"/>
  <c r="L103"/>
  <c r="L104"/>
  <c r="K105"/>
  <c r="L105"/>
  <c r="L106"/>
  <c r="L107"/>
  <c r="K108"/>
  <c r="L108"/>
  <c r="L109"/>
  <c r="K110"/>
  <c r="L110"/>
  <c r="K111"/>
  <c r="L111"/>
  <c r="K112"/>
  <c r="L112"/>
  <c r="L113"/>
  <c r="L114"/>
  <c r="L115"/>
  <c r="L117"/>
  <c r="L118"/>
  <c r="L119"/>
  <c r="K120"/>
  <c r="L120"/>
  <c r="L121"/>
  <c r="L122"/>
  <c r="L123"/>
  <c r="L124"/>
  <c r="L125"/>
  <c r="K126"/>
  <c r="L126"/>
  <c r="L127"/>
  <c r="K128"/>
  <c r="L128"/>
  <c r="K130"/>
  <c r="L130"/>
  <c r="L131"/>
  <c r="L132"/>
  <c r="L133"/>
  <c r="L134"/>
  <c r="K135"/>
  <c r="L135"/>
  <c r="K136"/>
  <c r="L136"/>
  <c r="K137"/>
  <c r="L137"/>
  <c r="L138"/>
  <c r="L139"/>
  <c r="L140"/>
  <c r="L141"/>
  <c r="L142"/>
  <c r="K143"/>
  <c r="L143"/>
  <c r="L144"/>
  <c r="L145"/>
  <c r="L146"/>
  <c r="K147"/>
  <c r="L147"/>
  <c r="L148"/>
  <c r="L149"/>
  <c r="L150"/>
  <c r="K151"/>
  <c r="L151"/>
  <c r="K152"/>
  <c r="L152"/>
  <c r="K153"/>
  <c r="L153"/>
  <c r="L154"/>
  <c r="L155"/>
  <c r="K156"/>
  <c r="L156"/>
  <c r="L157"/>
  <c r="K158"/>
  <c r="L158"/>
  <c r="L160"/>
  <c r="K161"/>
  <c r="L161"/>
  <c r="K162"/>
  <c r="L162"/>
  <c r="K163"/>
  <c r="L163"/>
  <c r="L164"/>
  <c r="L165"/>
  <c r="L166"/>
  <c r="L168"/>
  <c r="L170"/>
  <c r="K26"/>
  <c r="K78"/>
  <c r="K87"/>
  <c r="K117"/>
  <c r="K23"/>
  <c r="K45"/>
  <c r="K99"/>
  <c r="K125"/>
  <c r="K145"/>
  <c r="K142"/>
  <c r="K36"/>
  <c r="K17"/>
  <c r="K54"/>
  <c r="K59"/>
  <c r="K71"/>
  <c r="K140"/>
  <c r="K148"/>
  <c r="K160"/>
  <c r="K170"/>
  <c r="K47"/>
  <c r="K43"/>
  <c r="K82"/>
  <c r="K103"/>
  <c r="K114"/>
  <c r="K92"/>
  <c r="K28"/>
  <c r="K90"/>
  <c r="K132"/>
  <c r="K154"/>
  <c r="K56"/>
  <c r="K52"/>
  <c r="K57"/>
  <c r="K106"/>
  <c r="K118"/>
  <c r="K123"/>
  <c r="K166"/>
  <c r="K73"/>
  <c r="K15"/>
  <c r="K75"/>
  <c r="K109"/>
  <c r="K138"/>
  <c r="K157"/>
  <c r="K39"/>
  <c r="K81"/>
  <c r="K65"/>
  <c r="K72"/>
  <c r="K88"/>
  <c r="K100"/>
  <c r="K146"/>
  <c r="K38"/>
  <c r="K46"/>
  <c r="K121"/>
  <c r="K149"/>
  <c r="K164"/>
  <c r="K49"/>
  <c r="K60"/>
  <c r="K63"/>
  <c r="K69"/>
  <c r="K80"/>
  <c r="K86"/>
  <c r="K115"/>
  <c r="K141"/>
  <c r="K25"/>
  <c r="K44"/>
  <c r="K95"/>
  <c r="K104"/>
  <c r="K113"/>
  <c r="K133"/>
  <c r="K144"/>
  <c r="K155"/>
  <c r="K168"/>
  <c r="K165"/>
  <c r="K150"/>
  <c r="K22"/>
  <c r="K33"/>
  <c r="K53"/>
  <c r="K58"/>
  <c r="K77"/>
  <c r="K89"/>
  <c r="K98"/>
  <c r="K107"/>
  <c r="K124"/>
  <c r="K16"/>
  <c r="K119"/>
  <c r="K139"/>
  <c r="K102"/>
  <c r="K122"/>
  <c r="K64"/>
  <c r="K96"/>
  <c r="K134"/>
  <c r="K50"/>
  <c r="K127"/>
  <c r="K131"/>
  <c r="J15" l="1"/>
  <c r="D9" i="3" s="1"/>
  <c r="J173" i="1"/>
  <c r="D11" i="3"/>
  <c r="D47" s="1"/>
  <c r="D16" i="7"/>
  <c r="J18"/>
  <c r="I18"/>
  <c r="J19"/>
  <c r="I19"/>
  <c r="J20"/>
  <c r="I20"/>
  <c r="J21"/>
  <c r="I21"/>
  <c r="J9"/>
  <c r="I9"/>
  <c r="J10"/>
  <c r="I10"/>
  <c r="G2" i="9"/>
  <c r="G50"/>
  <c r="G42"/>
  <c r="G34"/>
  <c r="G26"/>
  <c r="K29" i="21"/>
  <c r="C7"/>
  <c r="C6"/>
  <c r="L19" i="7"/>
  <c r="L18"/>
  <c r="L20"/>
  <c r="L21"/>
  <c r="L9"/>
  <c r="L10"/>
  <c r="P179" i="1" l="1"/>
  <c r="K19" i="7"/>
  <c r="K18"/>
  <c r="K20"/>
  <c r="K21"/>
  <c r="J7"/>
  <c r="K9"/>
  <c r="K10"/>
  <c r="L14" i="1"/>
  <c r="K14"/>
  <c r="K27" i="19"/>
  <c r="K29" s="1"/>
  <c r="C7"/>
  <c r="C6"/>
  <c r="N19" i="7"/>
  <c r="N10"/>
  <c r="N18"/>
  <c r="M20"/>
  <c r="M19"/>
  <c r="M18"/>
  <c r="N9"/>
  <c r="N21"/>
  <c r="M10"/>
  <c r="N20"/>
  <c r="M21"/>
  <c r="M9"/>
  <c r="Q1" l="1"/>
  <c r="N1"/>
  <c r="O1"/>
  <c r="P1"/>
  <c r="F1"/>
  <c r="J1" l="1"/>
  <c r="K1" s="1"/>
  <c r="H1"/>
  <c r="I1" s="1"/>
  <c r="L1" s="1"/>
  <c r="M1" s="1"/>
  <c r="C1"/>
  <c r="N24" l="1"/>
  <c r="M24"/>
  <c r="L24"/>
  <c r="N23"/>
  <c r="M23"/>
  <c r="L23"/>
  <c r="N17"/>
  <c r="M17"/>
  <c r="L17"/>
  <c r="N16"/>
  <c r="M16"/>
  <c r="L16"/>
  <c r="N15"/>
  <c r="M15"/>
  <c r="L15"/>
  <c r="N14"/>
  <c r="M14"/>
  <c r="L14"/>
  <c r="N32"/>
  <c r="M32"/>
  <c r="L32"/>
  <c r="N31"/>
  <c r="M31"/>
  <c r="L31"/>
  <c r="N28"/>
  <c r="M28"/>
  <c r="L28"/>
  <c r="N27"/>
  <c r="M27"/>
  <c r="L27"/>
  <c r="N26"/>
  <c r="M26"/>
  <c r="L26"/>
  <c r="N25"/>
  <c r="M25"/>
  <c r="L25"/>
  <c r="N33"/>
  <c r="M33"/>
  <c r="L33"/>
  <c r="N34"/>
  <c r="M34"/>
  <c r="L34"/>
  <c r="N35"/>
  <c r="M35"/>
  <c r="L35"/>
  <c r="L29"/>
  <c r="L22"/>
  <c r="L30"/>
  <c r="J29" l="1"/>
  <c r="J30"/>
  <c r="J22"/>
  <c r="J16" s="1"/>
  <c r="I29"/>
  <c r="I30"/>
  <c r="I22"/>
  <c r="M30"/>
  <c r="N30"/>
  <c r="M22"/>
  <c r="M29"/>
  <c r="N22"/>
  <c r="N29"/>
  <c r="K30" l="1"/>
  <c r="K29"/>
  <c r="I27"/>
  <c r="J27"/>
  <c r="I16"/>
  <c r="K16" s="1"/>
  <c r="K22"/>
  <c r="K27" l="1"/>
  <c r="J4" i="1"/>
  <c r="A48" i="3" l="1"/>
  <c r="A49"/>
  <c r="A50"/>
  <c r="A47"/>
  <c r="A8"/>
  <c r="J2" i="1" l="1"/>
  <c r="G18" i="9"/>
  <c r="G10"/>
  <c r="B5" i="3" l="1"/>
  <c r="B4"/>
  <c r="N36" i="7" l="1"/>
  <c r="M36"/>
  <c r="L36"/>
  <c r="J6" i="1" l="1"/>
  <c r="J7"/>
  <c r="J8"/>
  <c r="K13" l="1"/>
  <c r="K12"/>
  <c r="L6" i="7"/>
  <c r="M6"/>
  <c r="N6"/>
  <c r="L7"/>
  <c r="M7"/>
  <c r="N7"/>
  <c r="L8"/>
  <c r="M8"/>
  <c r="N8"/>
  <c r="N11"/>
  <c r="L12"/>
  <c r="M12"/>
  <c r="N12"/>
  <c r="L13"/>
  <c r="M13"/>
  <c r="N13"/>
  <c r="J11" l="1"/>
  <c r="L12" i="1" l="1"/>
  <c r="L13"/>
  <c r="C37" i="3" l="1"/>
  <c r="C43"/>
  <c r="C45"/>
  <c r="C21"/>
  <c r="C19"/>
  <c r="C25"/>
  <c r="C17"/>
  <c r="C15"/>
  <c r="C23"/>
  <c r="C13"/>
  <c r="C27"/>
  <c r="C29"/>
  <c r="B7" i="1"/>
  <c r="C11" i="3" l="1"/>
  <c r="C39"/>
  <c r="C35"/>
  <c r="C33"/>
  <c r="C41"/>
  <c r="C31"/>
  <c r="L11" i="7"/>
  <c r="I11" l="1"/>
  <c r="I7" s="1"/>
  <c r="K7" s="1"/>
  <c r="M11"/>
  <c r="K11" l="1"/>
  <c r="H45" i="3" l="1"/>
  <c r="H46" s="1"/>
  <c r="N45"/>
  <c r="N46" s="1"/>
  <c r="P45"/>
  <c r="P46" s="1"/>
  <c r="F45"/>
  <c r="F46" s="1"/>
  <c r="J45"/>
  <c r="J46" s="1"/>
  <c r="L45"/>
  <c r="L46" s="1"/>
  <c r="A45"/>
  <c r="H11" l="1"/>
  <c r="H12" s="1"/>
  <c r="A11"/>
  <c r="F11"/>
  <c r="F12" s="1"/>
  <c r="N11"/>
  <c r="N12" s="1"/>
  <c r="P11"/>
  <c r="P12" s="1"/>
  <c r="L11"/>
  <c r="L12" s="1"/>
  <c r="J11"/>
  <c r="J12" s="1"/>
  <c r="P31"/>
  <c r="P32" s="1"/>
  <c r="J31"/>
  <c r="J32" s="1"/>
  <c r="F31"/>
  <c r="F32" s="1"/>
  <c r="L31"/>
  <c r="L32" s="1"/>
  <c r="N31"/>
  <c r="N32" s="1"/>
  <c r="H31"/>
  <c r="H32" s="1"/>
  <c r="A31"/>
  <c r="J17"/>
  <c r="J18" s="1"/>
  <c r="N17"/>
  <c r="N18" s="1"/>
  <c r="L17"/>
  <c r="L18" s="1"/>
  <c r="P17"/>
  <c r="P18" s="1"/>
  <c r="H17"/>
  <c r="H18" s="1"/>
  <c r="F17"/>
  <c r="F18" s="1"/>
  <c r="A17"/>
  <c r="J29"/>
  <c r="J30" s="1"/>
  <c r="L29"/>
  <c r="L30" s="1"/>
  <c r="N29"/>
  <c r="N30" s="1"/>
  <c r="F29"/>
  <c r="F30" s="1"/>
  <c r="A29"/>
  <c r="P29"/>
  <c r="P30" s="1"/>
  <c r="H29"/>
  <c r="H30" s="1"/>
  <c r="N13"/>
  <c r="N14" s="1"/>
  <c r="P13"/>
  <c r="P14" s="1"/>
  <c r="A13"/>
  <c r="J13"/>
  <c r="J14" s="1"/>
  <c r="L13"/>
  <c r="L14" s="1"/>
  <c r="F14"/>
  <c r="H13"/>
  <c r="H14" s="1"/>
  <c r="P43"/>
  <c r="P44" s="1"/>
  <c r="H43"/>
  <c r="H44" s="1"/>
  <c r="N43"/>
  <c r="N44" s="1"/>
  <c r="L43"/>
  <c r="L44" s="1"/>
  <c r="F43"/>
  <c r="F44" s="1"/>
  <c r="J43"/>
  <c r="J44" s="1"/>
  <c r="A43"/>
  <c r="J27"/>
  <c r="J28" s="1"/>
  <c r="L27"/>
  <c r="L28" s="1"/>
  <c r="F27"/>
  <c r="F28" s="1"/>
  <c r="N27"/>
  <c r="N28" s="1"/>
  <c r="H27"/>
  <c r="H28" s="1"/>
  <c r="A27"/>
  <c r="P27"/>
  <c r="P28" s="1"/>
  <c r="H25"/>
  <c r="H26" s="1"/>
  <c r="J25"/>
  <c r="J26" s="1"/>
  <c r="N25"/>
  <c r="N26" s="1"/>
  <c r="L25"/>
  <c r="L26" s="1"/>
  <c r="P25"/>
  <c r="P26" s="1"/>
  <c r="F25"/>
  <c r="F26" s="1"/>
  <c r="A25"/>
  <c r="L23"/>
  <c r="L24" s="1"/>
  <c r="F23"/>
  <c r="F24" s="1"/>
  <c r="A23"/>
  <c r="H23"/>
  <c r="H24" s="1"/>
  <c r="P23"/>
  <c r="P24" s="1"/>
  <c r="N23"/>
  <c r="N24" s="1"/>
  <c r="H37"/>
  <c r="H38" s="1"/>
  <c r="A37"/>
  <c r="F37"/>
  <c r="F38" s="1"/>
  <c r="L37"/>
  <c r="L38" s="1"/>
  <c r="J37"/>
  <c r="J38" s="1"/>
  <c r="N37"/>
  <c r="N38" s="1"/>
  <c r="P37"/>
  <c r="P38" s="1"/>
  <c r="J21"/>
  <c r="J22" s="1"/>
  <c r="N21"/>
  <c r="N22" s="1"/>
  <c r="L21"/>
  <c r="L22" s="1"/>
  <c r="P21"/>
  <c r="P22" s="1"/>
  <c r="H21"/>
  <c r="H22" s="1"/>
  <c r="F21"/>
  <c r="F22" s="1"/>
  <c r="A21"/>
  <c r="A41"/>
  <c r="L41"/>
  <c r="L42" s="1"/>
  <c r="J41"/>
  <c r="J42" s="1"/>
  <c r="H41"/>
  <c r="H42" s="1"/>
  <c r="F41"/>
  <c r="F42" s="1"/>
  <c r="P41"/>
  <c r="P42" s="1"/>
  <c r="N41"/>
  <c r="N42" s="1"/>
  <c r="N35"/>
  <c r="N36" s="1"/>
  <c r="P35"/>
  <c r="P36" s="1"/>
  <c r="J35"/>
  <c r="J36" s="1"/>
  <c r="L35"/>
  <c r="L36" s="1"/>
  <c r="H35"/>
  <c r="H36" s="1"/>
  <c r="A35"/>
  <c r="F35"/>
  <c r="F36" s="1"/>
  <c r="L19"/>
  <c r="L20" s="1"/>
  <c r="F19"/>
  <c r="F20" s="1"/>
  <c r="J19"/>
  <c r="J20" s="1"/>
  <c r="A19"/>
  <c r="H19"/>
  <c r="H20" s="1"/>
  <c r="P19"/>
  <c r="P20" s="1"/>
  <c r="N19"/>
  <c r="N20" s="1"/>
  <c r="P39"/>
  <c r="P40" s="1"/>
  <c r="L39"/>
  <c r="L40" s="1"/>
  <c r="N39"/>
  <c r="N40" s="1"/>
  <c r="F39"/>
  <c r="F40" s="1"/>
  <c r="H39"/>
  <c r="H40" s="1"/>
  <c r="J39"/>
  <c r="J40" s="1"/>
  <c r="A39"/>
  <c r="F33"/>
  <c r="F34" s="1"/>
  <c r="N33"/>
  <c r="N34" s="1"/>
  <c r="J33"/>
  <c r="J34" s="1"/>
  <c r="P33"/>
  <c r="P34" s="1"/>
  <c r="A33"/>
  <c r="L33"/>
  <c r="L34" s="1"/>
  <c r="H33"/>
  <c r="H34" s="1"/>
  <c r="N15"/>
  <c r="N16" s="1"/>
  <c r="P15"/>
  <c r="P16" s="1"/>
  <c r="H15"/>
  <c r="H16" s="1"/>
  <c r="J15"/>
  <c r="J16" s="1"/>
  <c r="L15"/>
  <c r="L16" s="1"/>
  <c r="F15"/>
  <c r="F16" s="1"/>
  <c r="A15"/>
  <c r="J9" l="1"/>
  <c r="P9"/>
  <c r="P10" s="1"/>
  <c r="P49" s="1"/>
  <c r="O49" s="1"/>
  <c r="L9"/>
  <c r="N9"/>
  <c r="A9"/>
  <c r="F9"/>
  <c r="F10" s="1"/>
  <c r="H9"/>
  <c r="H10" s="1"/>
  <c r="H49" s="1"/>
  <c r="G49" s="1"/>
  <c r="F49" l="1"/>
  <c r="L10"/>
  <c r="L49" s="1"/>
  <c r="K49" s="1"/>
  <c r="J10"/>
  <c r="J49" s="1"/>
  <c r="I49" s="1"/>
  <c r="N10"/>
  <c r="N49" s="1"/>
  <c r="M49" s="1"/>
  <c r="F50" l="1"/>
  <c r="E50" s="1"/>
  <c r="E49"/>
  <c r="H50" l="1"/>
  <c r="J50" s="1"/>
  <c r="G50" l="1"/>
  <c r="L50"/>
  <c r="I50"/>
  <c r="N50" l="1"/>
  <c r="P50" s="1"/>
  <c r="K50"/>
  <c r="M50" l="1"/>
  <c r="O50" l="1"/>
</calcChain>
</file>

<file path=xl/sharedStrings.xml><?xml version="1.0" encoding="utf-8"?>
<sst xmlns="http://schemas.openxmlformats.org/spreadsheetml/2006/main" count="1884" uniqueCount="833">
  <si>
    <t>ITEM</t>
  </si>
  <si>
    <t>DESCRIÇÃO</t>
  </si>
  <si>
    <t>CÓDIGO</t>
  </si>
  <si>
    <t>Valor Total</t>
  </si>
  <si>
    <t>SUBTOTAL</t>
  </si>
  <si>
    <t>TOTALGERAL</t>
  </si>
  <si>
    <t>CRONOGRAMA FÍSICO FINANCEIRO</t>
  </si>
  <si>
    <t>Mês 1</t>
  </si>
  <si>
    <t>%</t>
  </si>
  <si>
    <t>R$</t>
  </si>
  <si>
    <t>Mês 2</t>
  </si>
  <si>
    <t>TOTAL ACUMULADO</t>
  </si>
  <si>
    <t>TOTAL NO MÊS</t>
  </si>
  <si>
    <t>PLANILHA DE QUANTIDADES E DEMONSTRATIVO DE CUSTOS</t>
  </si>
  <si>
    <t>DESCRIÇÃO DO SERVIÇO OU FORNECIMENTO</t>
  </si>
  <si>
    <t>UNIDADE</t>
  </si>
  <si>
    <t>DATA BASE</t>
  </si>
  <si>
    <t>FONTE</t>
  </si>
  <si>
    <t>PREÇO REFERENCIAL</t>
  </si>
  <si>
    <t>001</t>
  </si>
  <si>
    <t>DESCRIÇÃO DO INSUMO</t>
  </si>
  <si>
    <t>COEFICIENTE</t>
  </si>
  <si>
    <t>CUSTO TOTAL</t>
  </si>
  <si>
    <t>Observações:</t>
  </si>
  <si>
    <t>002</t>
  </si>
  <si>
    <t>UN</t>
  </si>
  <si>
    <t>SINAPI</t>
  </si>
  <si>
    <t>ART/RRT:</t>
  </si>
  <si>
    <t>CUSTO UNIT. MAT.</t>
  </si>
  <si>
    <t>CUSTO UNIT. M.O.</t>
  </si>
  <si>
    <t>CNPJ</t>
  </si>
  <si>
    <t>NOME DA EMPRESA FORNECEDORA</t>
  </si>
  <si>
    <t>TELEFONE</t>
  </si>
  <si>
    <t>CONTATO</t>
  </si>
  <si>
    <t>DATA COTAÇÃO</t>
  </si>
  <si>
    <t>PREÇO COTADO</t>
  </si>
  <si>
    <t>ESPECIFICAÇÃO TÉCNICA:</t>
  </si>
  <si>
    <t>Vide anexo com as cotações de mercado</t>
  </si>
  <si>
    <t>73775/2</t>
  </si>
  <si>
    <t>CPOS</t>
  </si>
  <si>
    <t xml:space="preserve">UN </t>
  </si>
  <si>
    <t>ORIGEM</t>
  </si>
  <si>
    <t>CUSTO MAT.</t>
  </si>
  <si>
    <t>CUSTO M.O.</t>
  </si>
  <si>
    <t>$ MAT</t>
  </si>
  <si>
    <t>$MO</t>
  </si>
  <si>
    <t>OBJETO:</t>
  </si>
  <si>
    <t>LOCAL:</t>
  </si>
  <si>
    <t>EMPREITADA POR PREÇO GLOBAL</t>
  </si>
  <si>
    <t>REGIME PREVIDENCIÁRIO DA OBRA:</t>
  </si>
  <si>
    <t>REGIME DE EXECUÇÃO DA OBRA:</t>
  </si>
  <si>
    <t>BDI</t>
  </si>
  <si>
    <t>GRUPO</t>
  </si>
  <si>
    <t>SINAPI-CUSTOS DE COMPOSIÇÃO ANALÍTICO</t>
  </si>
  <si>
    <t>SINAPI-PREÇOS DE INSUMOS</t>
  </si>
  <si>
    <t>NOME DO ARQUIVO (COM EXTENSÃO)</t>
  </si>
  <si>
    <t>TABELA</t>
  </si>
  <si>
    <t>DATA BASE:</t>
  </si>
  <si>
    <t>NOME DA PLANILHA</t>
  </si>
  <si>
    <t>EDIF-COMPOSIÇÃO DE CUSTO UNITÁRIO</t>
  </si>
  <si>
    <t>DENOMINAÇÃO DOS ARQUIVOS UTILIZADOS NESTA PLANILHA:</t>
  </si>
  <si>
    <t>003</t>
  </si>
  <si>
    <t>DADOS DA PLANILHA:</t>
  </si>
  <si>
    <t>Nº</t>
  </si>
  <si>
    <t>EDIF-INSUMOS</t>
  </si>
  <si>
    <t>PROCESSO Nº</t>
  </si>
  <si>
    <t>DADOS DA TABELA:</t>
  </si>
  <si>
    <t>NÍVEL DE SIGILO</t>
  </si>
  <si>
    <t>REVISÃO:</t>
  </si>
  <si>
    <t>REFERÊNCIA CAD:</t>
  </si>
  <si>
    <t>Nível de Sigilo</t>
  </si>
  <si>
    <t>SIGILO</t>
  </si>
  <si>
    <t>REVISÃO</t>
  </si>
  <si>
    <t>REFERÊNCIA</t>
  </si>
  <si>
    <t>INTERNO</t>
  </si>
  <si>
    <t>RESERVADO</t>
  </si>
  <si>
    <t>PÚBLICO</t>
  </si>
  <si>
    <t>LICITAÇÃO</t>
  </si>
  <si>
    <t>DADOS DO ORÇAMENTISTA:</t>
  </si>
  <si>
    <t>NOME:</t>
  </si>
  <si>
    <t>CAU/CREA:</t>
  </si>
  <si>
    <t>TOTAL GERAL</t>
  </si>
  <si>
    <t>DADOS DO PROJETO E HISTÓRICO DE REVISÕES</t>
  </si>
  <si>
    <t>Mês 3</t>
  </si>
  <si>
    <t>Mês 4</t>
  </si>
  <si>
    <t>Mês 5</t>
  </si>
  <si>
    <t>Mês 6</t>
  </si>
  <si>
    <t>F</t>
  </si>
  <si>
    <t>DADOS DA OBRA:</t>
  </si>
  <si>
    <t>SECRETARIA REQUISITANTE</t>
  </si>
  <si>
    <t>PROCESSO LICITATÓRIO</t>
  </si>
  <si>
    <t>DISPENSA DE PROCESSO LICITATÓRIO</t>
  </si>
  <si>
    <t>TOMADA DE PREÇOS</t>
  </si>
  <si>
    <t>Tipos de Licitação</t>
  </si>
  <si>
    <t>Secretarias</t>
  </si>
  <si>
    <t>SEAIS</t>
  </si>
  <si>
    <t>SEEDUC</t>
  </si>
  <si>
    <t>SESAUD</t>
  </si>
  <si>
    <t>SEDET</t>
  </si>
  <si>
    <t>SEDEF</t>
  </si>
  <si>
    <t>SELJ</t>
  </si>
  <si>
    <t>SECULT</t>
  </si>
  <si>
    <t>SEGOV</t>
  </si>
  <si>
    <t>SEPLAG</t>
  </si>
  <si>
    <t>SEJUR</t>
  </si>
  <si>
    <t>PGM</t>
  </si>
  <si>
    <t>SEFAZ</t>
  </si>
  <si>
    <t>SEMOB</t>
  </si>
  <si>
    <t>SESEG</t>
  </si>
  <si>
    <t>SESURB</t>
  </si>
  <si>
    <t>SEOHAB</t>
  </si>
  <si>
    <t>SIM</t>
  </si>
  <si>
    <t>NÃO</t>
  </si>
  <si>
    <t>CONCORRÊNCIA PÚBLICA</t>
  </si>
  <si>
    <t>NÃO NECESSÁRIO</t>
  </si>
  <si>
    <t>M</t>
  </si>
  <si>
    <t>X</t>
  </si>
  <si>
    <t>CONVITE</t>
  </si>
  <si>
    <t>33.041.260/0652-90</t>
  </si>
  <si>
    <t>10.490.181/0001-35</t>
  </si>
  <si>
    <t>COT-01</t>
  </si>
  <si>
    <t>COT-02</t>
  </si>
  <si>
    <t>COT03</t>
  </si>
  <si>
    <t>MERCADO LIVRE</t>
  </si>
  <si>
    <t>00.776.574/0007-41</t>
  </si>
  <si>
    <t>SHOPTIME</t>
  </si>
  <si>
    <t>SIURB</t>
  </si>
  <si>
    <t>H</t>
  </si>
  <si>
    <t>FONTE: SINAPI</t>
  </si>
  <si>
    <t>CPU-01</t>
  </si>
  <si>
    <t>CPU-02</t>
  </si>
  <si>
    <t>CPU-03</t>
  </si>
  <si>
    <t>KG</t>
  </si>
  <si>
    <t>m³</t>
  </si>
  <si>
    <t>L</t>
  </si>
  <si>
    <t>Un</t>
  </si>
  <si>
    <t>m²</t>
  </si>
  <si>
    <t xml:space="preserve"> 1.1 </t>
  </si>
  <si>
    <t xml:space="preserve"> 1 </t>
  </si>
  <si>
    <t xml:space="preserve"> 2 </t>
  </si>
  <si>
    <t>SERVIÇOS PRELIMINARES</t>
  </si>
  <si>
    <t xml:space="preserve"> 2.1 </t>
  </si>
  <si>
    <t xml:space="preserve"> 2.2 </t>
  </si>
  <si>
    <t xml:space="preserve"> 3 </t>
  </si>
  <si>
    <t xml:space="preserve"> 3.1 </t>
  </si>
  <si>
    <t xml:space="preserve"> 3.2 </t>
  </si>
  <si>
    <t>Próprio</t>
  </si>
  <si>
    <t xml:space="preserve"> 3.3 </t>
  </si>
  <si>
    <t xml:space="preserve"> 4.1 </t>
  </si>
  <si>
    <t xml:space="preserve"> 4.2 </t>
  </si>
  <si>
    <t xml:space="preserve"> 4.3 </t>
  </si>
  <si>
    <t xml:space="preserve"> 4 </t>
  </si>
  <si>
    <t xml:space="preserve"> 5 </t>
  </si>
  <si>
    <t xml:space="preserve"> 5.1 </t>
  </si>
  <si>
    <t xml:space="preserve"> 6 </t>
  </si>
  <si>
    <t xml:space="preserve"> 6.1 </t>
  </si>
  <si>
    <t xml:space="preserve"> 6.2 </t>
  </si>
  <si>
    <t xml:space="preserve"> 6.3 </t>
  </si>
  <si>
    <t xml:space="preserve"> 7 </t>
  </si>
  <si>
    <t xml:space="preserve"> 7.1 </t>
  </si>
  <si>
    <t xml:space="preserve"> 7.2 </t>
  </si>
  <si>
    <t xml:space="preserve"> 8 </t>
  </si>
  <si>
    <t xml:space="preserve"> 8.1 </t>
  </si>
  <si>
    <t xml:space="preserve"> 8.2 </t>
  </si>
  <si>
    <t xml:space="preserve"> 9 </t>
  </si>
  <si>
    <t xml:space="preserve"> 9.1 </t>
  </si>
  <si>
    <t xml:space="preserve"> 10 </t>
  </si>
  <si>
    <t xml:space="preserve"> 10.1 </t>
  </si>
  <si>
    <t xml:space="preserve"> 10.2 </t>
  </si>
  <si>
    <t xml:space="preserve"> 11 </t>
  </si>
  <si>
    <t xml:space="preserve"> 11.1 </t>
  </si>
  <si>
    <t xml:space="preserve"> 12 </t>
  </si>
  <si>
    <t xml:space="preserve"> 12.1 </t>
  </si>
  <si>
    <t xml:space="preserve"> 12.2 </t>
  </si>
  <si>
    <t xml:space="preserve"> 13 </t>
  </si>
  <si>
    <t xml:space="preserve"> 13.1 </t>
  </si>
  <si>
    <t xml:space="preserve"> 13.2 </t>
  </si>
  <si>
    <t xml:space="preserve"> 13.3 </t>
  </si>
  <si>
    <t xml:space="preserve"> 13.4 </t>
  </si>
  <si>
    <t xml:space="preserve"> 14 </t>
  </si>
  <si>
    <t xml:space="preserve"> 14.1 </t>
  </si>
  <si>
    <t xml:space="preserve"> 14.2 </t>
  </si>
  <si>
    <t xml:space="preserve"> 15 </t>
  </si>
  <si>
    <t xml:space="preserve"> 15.1 </t>
  </si>
  <si>
    <t xml:space="preserve"> 15.2 </t>
  </si>
  <si>
    <t>CJ</t>
  </si>
  <si>
    <t>INSTALAÇÕES ELÉTRICAS</t>
  </si>
  <si>
    <t xml:space="preserve"> 16 </t>
  </si>
  <si>
    <t xml:space="preserve"> 16.1 </t>
  </si>
  <si>
    <t xml:space="preserve"> 17 </t>
  </si>
  <si>
    <t xml:space="preserve"> 17.1 </t>
  </si>
  <si>
    <t xml:space="preserve"> 17.2 </t>
  </si>
  <si>
    <t xml:space="preserve"> 17.3 </t>
  </si>
  <si>
    <t xml:space="preserve"> 18 </t>
  </si>
  <si>
    <t xml:space="preserve"> 18.1 </t>
  </si>
  <si>
    <t xml:space="preserve"> 19 </t>
  </si>
  <si>
    <t xml:space="preserve"> 19.1 </t>
  </si>
  <si>
    <t xml:space="preserve"> 12,0</t>
  </si>
  <si>
    <t xml:space="preserve"> 30,0</t>
  </si>
  <si>
    <t xml:space="preserve"> 15,0</t>
  </si>
  <si>
    <t xml:space="preserve"> 6,0</t>
  </si>
  <si>
    <t xml:space="preserve"> 20,0</t>
  </si>
  <si>
    <t xml:space="preserve"> 1,0</t>
  </si>
  <si>
    <t xml:space="preserve"> 2,0</t>
  </si>
  <si>
    <t xml:space="preserve"> 5,0</t>
  </si>
  <si>
    <t xml:space="preserve"> 10,0</t>
  </si>
  <si>
    <t xml:space="preserve"> 3,0</t>
  </si>
  <si>
    <t xml:space="preserve"> 4,0</t>
  </si>
  <si>
    <t>MEMÓRIA DE CÁLCULO</t>
  </si>
  <si>
    <t>COMPOSIÇÕES UNITÁRIAS</t>
  </si>
  <si>
    <t>DEPATAMENTO DE ENGENHARIA E ARQUITETURA</t>
  </si>
  <si>
    <t>Quadro de Composição do BDI</t>
  </si>
  <si>
    <t xml:space="preserve">OBRA: </t>
  </si>
  <si>
    <t xml:space="preserve">LOCAL:  </t>
  </si>
  <si>
    <t>MUNICÍPIO:</t>
  </si>
  <si>
    <t>Conforme legislação tributária municipal, definir estimativa de percentual da base de cálculo para o ISS:</t>
  </si>
  <si>
    <t>Sobre a base de cálculo, definir a respectiva alíquota do ISS (entre 2% e 5%):</t>
  </si>
  <si>
    <t>BDI 1</t>
  </si>
  <si>
    <t>TIPO DE OBRA</t>
  </si>
  <si>
    <t>Construção e Reforma de Edifícios</t>
  </si>
  <si>
    <t xml:space="preserve"> Construção de Praças Urbanas, Rodovias, Ferrovias e recapeamento e pavimentação de vias urbanas </t>
  </si>
  <si>
    <t xml:space="preserve"> Construção de Redes de Abastecimento de Água, Coleta de Esgoto </t>
  </si>
  <si>
    <t xml:space="preserve"> Fornecimento de Materiais e Equipamentos (aquisição indireta - em conjunto com licitação de obras) </t>
  </si>
  <si>
    <t xml:space="preserve"> Fornecimento de Materiais e Equipamentos (aquisição direta) </t>
  </si>
  <si>
    <t>Itens</t>
  </si>
  <si>
    <t>Siglas</t>
  </si>
  <si>
    <t>% Adotado</t>
  </si>
  <si>
    <t>1º Quartil</t>
  </si>
  <si>
    <t>Médio</t>
  </si>
  <si>
    <t>3º Quartil</t>
  </si>
  <si>
    <t>Administração Central</t>
  </si>
  <si>
    <t>AC</t>
  </si>
  <si>
    <t>-</t>
  </si>
  <si>
    <t>Seguro e Garantia</t>
  </si>
  <si>
    <t>SG</t>
  </si>
  <si>
    <t>Risco</t>
  </si>
  <si>
    <t>R</t>
  </si>
  <si>
    <t>Despesas Financeiras</t>
  </si>
  <si>
    <t>DF</t>
  </si>
  <si>
    <t>Lucro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</si>
  <si>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</si>
  <si>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</si>
  <si>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</si>
  <si>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</si>
  <si>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</si>
  <si>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</si>
  <si>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PAD</t>
  </si>
  <si>
    <t>Os valores de BDI foram calculados com o emprego da fórmula:</t>
  </si>
  <si>
    <t>BDI =</t>
  </si>
  <si>
    <t>(1+AC + S + R + G)*(1 + DF)*(1+L)</t>
  </si>
  <si>
    <t xml:space="preserve"> - 1</t>
  </si>
  <si>
    <t>(1-CP-ISS-CRPB)</t>
  </si>
  <si>
    <t xml:space="preserve">Tipo da Obra </t>
  </si>
  <si>
    <t xml:space="preserve"> Construção e Manutenção de Estações e Redes de Distribuição de Energia Elétrica </t>
  </si>
  <si>
    <t xml:space="preserve"> Obras Portuárias, Marítimas e Fluviais </t>
  </si>
  <si>
    <t>Local</t>
  </si>
  <si>
    <t>Data</t>
  </si>
  <si>
    <t>Declaro para os devidos fins que o regime de Contribuição Previdenciária sobre a Receita Bruta adotado para elaboração do orçamento foi COM Desoneração, e que esta é a alternativa mais adequada para a Administração Pública.</t>
  </si>
  <si>
    <t>Declaro para os devidos fins que o regime de Contribuição Previdenciária sobre a Receita Bruta adotado para elaboração do orçamento foi SEM Desoneração, e que esta é a alternativa mais adequada para a Administração Pública.</t>
  </si>
  <si>
    <t>São Caetano do Sul</t>
  </si>
  <si>
    <t>MADEIRA MADEIRA</t>
  </si>
  <si>
    <t>CASAS BAHIA</t>
  </si>
  <si>
    <t>Não Desonerado</t>
  </si>
  <si>
    <t>BDI SEM desoneração</t>
  </si>
  <si>
    <t>NÃO DESONERADO</t>
  </si>
  <si>
    <r>
      <rPr>
        <b/>
        <sz val="11"/>
        <color theme="1"/>
        <rFont val="Calibri"/>
        <family val="2"/>
        <scheme val="minor"/>
      </rPr>
      <t>&gt;&gt;</t>
    </r>
    <r>
      <rPr>
        <sz val="11"/>
        <color theme="1"/>
        <rFont val="Calibri"/>
        <family val="2"/>
        <scheme val="minor"/>
      </rPr>
      <t xml:space="preserve"> BDI Não Desonerado quartil inicial planilha múltipla</t>
    </r>
  </si>
  <si>
    <t>PROVA DE CARGA EM FUNDAÇÕES</t>
  </si>
  <si>
    <t xml:space="preserve"> 2.3 </t>
  </si>
  <si>
    <t xml:space="preserve"> 9.2 </t>
  </si>
  <si>
    <t xml:space="preserve"> 9.3 </t>
  </si>
  <si>
    <t xml:space="preserve"> 200,0</t>
  </si>
  <si>
    <t xml:space="preserve"> 50,0</t>
  </si>
  <si>
    <t>SPOT EMBUTIR PISO LUMINÁRIA LED 7W</t>
  </si>
  <si>
    <t>SPOT FIXADO EM PAREDE LUMINÁRIA LED 20W</t>
  </si>
  <si>
    <t>SPOT FIXADO EM PAREDE LUMINÁRIA LED 35W</t>
  </si>
  <si>
    <t>COMUNICAÇÃO VISUAL EM LETRAS-CAIXA EM AÇO POLIDO E BRASÃO EM ACRÍLICO ESPANDIDO</t>
  </si>
  <si>
    <t>GIRA-GIRA</t>
  </si>
  <si>
    <t>GANGORRA DUPLA</t>
  </si>
  <si>
    <t>ESCORREGADOR</t>
  </si>
  <si>
    <t>LIMPEZA FINAL DA OBRA</t>
  </si>
  <si>
    <t xml:space="preserve"> 02.08.020 </t>
  </si>
  <si>
    <t>CORTE DE BARRAS DE AÇO CA-50 COM MAÇARICO OXIACETILENO</t>
  </si>
  <si>
    <t xml:space="preserve"> 05.08.220 </t>
  </si>
  <si>
    <t xml:space="preserve"> 10.01.040 </t>
  </si>
  <si>
    <t xml:space="preserve"> 11.01.290 </t>
  </si>
  <si>
    <t xml:space="preserve"> 11.16.080 </t>
  </si>
  <si>
    <t xml:space="preserve"> 13.02.170 </t>
  </si>
  <si>
    <t xml:space="preserve"> 10.02.020 </t>
  </si>
  <si>
    <t xml:space="preserve"> 16.33.022 </t>
  </si>
  <si>
    <t xml:space="preserve"> 49.06.010 </t>
  </si>
  <si>
    <t xml:space="preserve"> 33.07.102 </t>
  </si>
  <si>
    <t xml:space="preserve"> 11.18.040 </t>
  </si>
  <si>
    <t xml:space="preserve"> 11.18.060 </t>
  </si>
  <si>
    <t xml:space="preserve"> 32.17.010 </t>
  </si>
  <si>
    <t xml:space="preserve"> 17.02.020 </t>
  </si>
  <si>
    <t xml:space="preserve"> 44.01.800 </t>
  </si>
  <si>
    <t xml:space="preserve"> 44.01.270 </t>
  </si>
  <si>
    <t xml:space="preserve"> 44.20.650 </t>
  </si>
  <si>
    <t xml:space="preserve"> 44.03.130 </t>
  </si>
  <si>
    <t xml:space="preserve"> 44.03.050 </t>
  </si>
  <si>
    <t xml:space="preserve"> 46.01.050 </t>
  </si>
  <si>
    <t xml:space="preserve"> 46.01.030 </t>
  </si>
  <si>
    <t xml:space="preserve"> 46.01.020 </t>
  </si>
  <si>
    <t xml:space="preserve"> 46.02.070 </t>
  </si>
  <si>
    <t xml:space="preserve"> 46.02.050 </t>
  </si>
  <si>
    <t xml:space="preserve"> 46.02.010 </t>
  </si>
  <si>
    <t xml:space="preserve"> 38.19.030 </t>
  </si>
  <si>
    <t xml:space="preserve"> 40.07.010 </t>
  </si>
  <si>
    <t xml:space="preserve"> 40.07.040 </t>
  </si>
  <si>
    <t xml:space="preserve"> 37.13.630 </t>
  </si>
  <si>
    <t xml:space="preserve"> 40.04.450 </t>
  </si>
  <si>
    <t xml:space="preserve"> 40.05.020 </t>
  </si>
  <si>
    <t xml:space="preserve"> 33.01.350 </t>
  </si>
  <si>
    <t xml:space="preserve"> 32.16.010 </t>
  </si>
  <si>
    <t xml:space="preserve"> 03.01.210 </t>
  </si>
  <si>
    <t>BDI 1:</t>
  </si>
  <si>
    <t>004</t>
  </si>
  <si>
    <t>005</t>
  </si>
  <si>
    <t>006</t>
  </si>
  <si>
    <t>007</t>
  </si>
  <si>
    <t>COT07</t>
  </si>
  <si>
    <t>COT06</t>
  </si>
  <si>
    <t>COT05</t>
  </si>
  <si>
    <t>COT04</t>
  </si>
  <si>
    <t>LEROY MERLIN</t>
  </si>
  <si>
    <t>01.438.784/0048-60</t>
  </si>
  <si>
    <t>SUBMARINO</t>
  </si>
  <si>
    <t>00.776.574/0001-56</t>
  </si>
  <si>
    <t>03.499.243/0001-04</t>
  </si>
  <si>
    <t>AMERICANAS</t>
  </si>
  <si>
    <t xml:space="preserve">00.776.574/0001-56 </t>
  </si>
  <si>
    <t>SOU BARATO</t>
  </si>
  <si>
    <t>BEST PLAY</t>
  </si>
  <si>
    <t>36.569.969/0001-25</t>
  </si>
  <si>
    <t>NATU MOVEIS</t>
  </si>
  <si>
    <t xml:space="preserve">	13.844.452/0001-00</t>
  </si>
  <si>
    <t xml:space="preserve"> B.01.000.020118 </t>
  </si>
  <si>
    <t xml:space="preserve"> B.01.000.010146 </t>
  </si>
  <si>
    <t xml:space="preserve"> 86010 </t>
  </si>
  <si>
    <t>CONTROLE TECNOLÓGICO EM CONCRETO: VERIFICAÇÃO DA DOSAGEM (DOS.PRE.INF-REP.LAB-MED.AB.MOLD.CORP.PROV.ENS.ID=3,7,28DIA)</t>
  </si>
  <si>
    <t>ENGENHEIRO SENIOR DE CIVIL</t>
  </si>
  <si>
    <t>SERVENTE</t>
  </si>
  <si>
    <t>COORDENADOR DE PROJETOS</t>
  </si>
  <si>
    <t>ENGENHEIRO JUNIOR DE CIVIL</t>
  </si>
  <si>
    <t>PROJETISTA PLENO - NÍVEL TÉCNICO</t>
  </si>
  <si>
    <t>DESENHISTA PLENO/CADISTA</t>
  </si>
  <si>
    <t xml:space="preserve"> B.01.000.020112 </t>
  </si>
  <si>
    <t xml:space="preserve"> B.01.000.020115 </t>
  </si>
  <si>
    <t xml:space="preserve"> B.01.000.020121 </t>
  </si>
  <si>
    <t xml:space="preserve"> B.01.000.020122 </t>
  </si>
  <si>
    <t>APARELHO CORTE OXIACETILENO</t>
  </si>
  <si>
    <t>SOLDADOR</t>
  </si>
  <si>
    <t xml:space="preserve"> S.06.000.028076 </t>
  </si>
  <si>
    <t xml:space="preserve"> B.01.000.010148 </t>
  </si>
  <si>
    <t>Base Composição 01.17.081 "Projeto executivo de instalações hidráulicas em formato A0"</t>
  </si>
  <si>
    <t>Baseado na composição SICRO3 1416201 01/2021</t>
  </si>
  <si>
    <t>Baseada na composição SBC 03126007/2021 ENSAIOS E PROVAS DE CARGA</t>
  </si>
  <si>
    <t xml:space="preserve"> 01.21.010 </t>
  </si>
  <si>
    <t>TX</t>
  </si>
  <si>
    <t xml:space="preserve"> 2.4 </t>
  </si>
  <si>
    <t xml:space="preserve"> 2.5 </t>
  </si>
  <si>
    <t xml:space="preserve"> 3.4 </t>
  </si>
  <si>
    <t xml:space="preserve"> 15.03.131 </t>
  </si>
  <si>
    <t xml:space="preserve"> 4.4 </t>
  </si>
  <si>
    <t xml:space="preserve"> 07.11.020 </t>
  </si>
  <si>
    <t xml:space="preserve"> 17.02.160 </t>
  </si>
  <si>
    <t xml:space="preserve"> 9.4 </t>
  </si>
  <si>
    <t xml:space="preserve"> 9.5 </t>
  </si>
  <si>
    <t xml:space="preserve"> 44.02.062 </t>
  </si>
  <si>
    <t xml:space="preserve"> 43.02.140 </t>
  </si>
  <si>
    <t xml:space="preserve"> 12.3 </t>
  </si>
  <si>
    <t xml:space="preserve"> 38.13.020 </t>
  </si>
  <si>
    <t xml:space="preserve"> 06.11.040 </t>
  </si>
  <si>
    <t xml:space="preserve"> 46.01.070 </t>
  </si>
  <si>
    <t xml:space="preserve"> 14.3 </t>
  </si>
  <si>
    <t xml:space="preserve"> 14.4 </t>
  </si>
  <si>
    <t xml:space="preserve"> 46.03.050 </t>
  </si>
  <si>
    <t xml:space="preserve"> 16.2 </t>
  </si>
  <si>
    <t xml:space="preserve"> 16.3 </t>
  </si>
  <si>
    <t xml:space="preserve"> 16.4 </t>
  </si>
  <si>
    <t xml:space="preserve"> 16.5 </t>
  </si>
  <si>
    <t xml:space="preserve"> 16.6 </t>
  </si>
  <si>
    <t>QUANT.</t>
  </si>
  <si>
    <t>VALOR UNIT.</t>
  </si>
  <si>
    <t>VALOR UNIT. COM BDI</t>
  </si>
  <si>
    <t>VALOR TOTAL</t>
  </si>
  <si>
    <t>BIAZOTTO D'ANDRÉA - ASSESORIA, ENGENHARIA E GESTÃO DE PROJETOS</t>
  </si>
  <si>
    <t>Prefeitura Municipal de Eng. Coelho</t>
  </si>
  <si>
    <t>PLACA DE IDENTIFICAÇÃO PARA OBRA</t>
  </si>
  <si>
    <t>TAXA DE MOBILIZAÇÃO E DESMOBILIZAÇÃO DE EQUIPAMENTOS PARA EXECUÇÃO DE SONDAGEM</t>
  </si>
  <si>
    <t/>
  </si>
  <si>
    <t>DEMOLIÇÃO MECANIZADA DE CONCRETO ARMADO, INCLUSIVE FRAGMENTAÇÃO E ACOMODAÇÃO DO MATERIAL</t>
  </si>
  <si>
    <t>CARREGAMENTO MECANIZADO DE ENTULHO FRAGMENTADO, COM CAMINHÃO À DISPOSIÇÃO DENTRO DA OBRA, ATÉ O RAIO DE 1 KM</t>
  </si>
  <si>
    <t>LASTRO DE PEDRA BRITADA</t>
  </si>
  <si>
    <t>ARMADURA EM BARRA DE AÇO CA-50 (A OU B) FYK = 500 MPA</t>
  </si>
  <si>
    <t>LANÇAMENTO E ADENSAMENTO DE CONCRETO OU MASSA POR BOMBEAMENTO</t>
  </si>
  <si>
    <t>IMPERMEABILIZAÇÃO EM PINTURA DE ASFALTO OXIDADO COM SOLVENTES ORGÂNICOS, SOBRE MASSA</t>
  </si>
  <si>
    <t>FORNECIMENTO E MONTAGEM DE ESTRUTURA EM AÇO ASTM-A572 GRAU 50, SEM PINTURA</t>
  </si>
  <si>
    <t>PREPARO DE BASE PARA SUPERFÍCIE METÁLICA COM FUNDO ANTIOXIDANTE</t>
  </si>
  <si>
    <t>ESMALTE A BASE DE ÁGUA EM ESTRUTURA METÁLICA</t>
  </si>
  <si>
    <t>LAJE PRÉ-FABRICADA MISTA VIGOTA PROTENDIDA/LAJOTA CERÂMICA - LP 16 (12+4) E CAPA COM CONCRETO DE 25 MPA</t>
  </si>
  <si>
    <t>ARMADURA EM TELA SOLDADA DE AÇO</t>
  </si>
  <si>
    <t>CALHA, RUFO, AFINS EM CHAPA GALVANIZADA Nº 24 - CORTE 0,33 M</t>
  </si>
  <si>
    <t>LONA PLÁSTICA</t>
  </si>
  <si>
    <t>IMPERMEABILIZAÇÃO EM ARGAMASSA IMPERMEÁVEL COM ADITIVO HIDRÓFUGO</t>
  </si>
  <si>
    <t>CHAPISCO</t>
  </si>
  <si>
    <t>EMBOÇO DESEMPENADO COM ARGAMASSA INDUSTRIALIZADA</t>
  </si>
  <si>
    <t>BACIA SIFONADA COM CAIXA DE DESCARGA ACOPLADA SEM TAMPA - 6 LITROS</t>
  </si>
  <si>
    <t>TAMPO/BANCADA EM GRANITO, COM FRONTÃO, ESPESSURA DE 2 CM, ACABAMENTO POLIDO</t>
  </si>
  <si>
    <t>CUBA DE LOUÇA DE EMBUTIR OVAL</t>
  </si>
  <si>
    <t>VÁLVULA DE METAL CROMADO DE 1´</t>
  </si>
  <si>
    <t>SABONETEIRA TIPO DISPENSER, PARA REFIL DE 800 ML</t>
  </si>
  <si>
    <t>DISPENSER PAPEL HIGIÊNICO EM ABS PARA ROLÃO 300 / 600 M, COM VISOR</t>
  </si>
  <si>
    <t>CHUVEIRO ELÉTRICO DE 5.500 W / 220 V EM PVC</t>
  </si>
  <si>
    <t>INTERRUPTOR COM 1 TECLA SIMPLES E PLACA</t>
  </si>
  <si>
    <t>TOMADA 2P+T DE 10 A - 250 V, COMPLETA</t>
  </si>
  <si>
    <t>DISJUNTOR TERMOMAGNÉTICO, BIPOLAR 220/380 V, CORRENTE DE 10 A ATÉ 50 A</t>
  </si>
  <si>
    <t>CAIXA EM PVC DE 4´ X 2´</t>
  </si>
  <si>
    <t>CAIXA EM PVC OCTOGONAL DE 4´ X 4´</t>
  </si>
  <si>
    <t>ELETRODUTO DE PVC CORRUGADO FLEXÍVEL LEVE, DIÂMETRO EXTERNO DE 25 MM</t>
  </si>
  <si>
    <t>ELETRODUTO CORRUGADO EM POLIETILENO DE ALTA DENSIDADE, DN= 50 MM, COM ACESSÓRIOS</t>
  </si>
  <si>
    <t>REATERRO MANUAL APILOADO SEM CONTROLE DE COMPACTAÇÃO</t>
  </si>
  <si>
    <t>CONCRETO USINADO, FCK = 25 MPA - PARA BOMBEAMENTO</t>
  </si>
  <si>
    <t>TUBO DE PVC RÍGIDO SOLDÁVEL MARROM, DN= 75 MM, (2 1/2´), INCLUSIVE CONEXÕES</t>
  </si>
  <si>
    <t>TUBO DE PVC RÍGIDO SOLDÁVEL MARROM, DN= 50 MM, (1 1/2´), INCLUSIVE CONEXÕES</t>
  </si>
  <si>
    <t>TUBO DE PVC RÍGIDO SOLDÁVEL MARROM, DN= 32 MM, (1´), INCLUSIVE CONEXÕES</t>
  </si>
  <si>
    <t>TUBO DE PVC RÍGIDO SOLDÁVEL MARROM, DN= 25 MM, (3/4´), INCLUSIVE CONEXÕES</t>
  </si>
  <si>
    <t>TUBO DE PVC RÍGIDO BRANCO PXB COM VIROLA E ANEL DE BORRACHA, LINHA ESGOTO SÉRIE NORMAL, DN= 100 MM, INCLUSIVE CONEXÕES</t>
  </si>
  <si>
    <t>TUBO DE PVC RÍGIDO BRANCO PXB COM VIROLA E ANEL DE BORRACHA, LINHA ESGOTO SÉRIE NORMAL, DN= 50 MM, INCLUSIVE CONEXÕES</t>
  </si>
  <si>
    <t>TUBO DE PVC RÍGIDO BRANCO, PONTAS LISAS, SOLDÁVEL, LINHA ESGOTO SÉRIE NORMAL, DN= 40 MM, INCLUSIVE CONEXÕES</t>
  </si>
  <si>
    <t>TUBO DE PVC RÍGIDO PXB COM VIROLA E ANEL DE BORRACHA, LINHA ESGOTO SÉRIE REFORÇADA ´R´, DN= 100 MM, INCLUSIVE CONEXÕES</t>
  </si>
  <si>
    <t>GRELHA HEMISFÉRICA EM FERRO FUNDIDO DE 4"</t>
  </si>
  <si>
    <t xml:space="preserve"> = VALVULA METAL CROMADO = 2UN</t>
  </si>
  <si>
    <t xml:space="preserve"> = SABONETEIRA = 2UN</t>
  </si>
  <si>
    <t xml:space="preserve"> = DISPENSER TOALHEIRO = 2UN</t>
  </si>
  <si>
    <t xml:space="preserve"> 24,0</t>
  </si>
  <si>
    <t xml:space="preserve"> 100,0</t>
  </si>
  <si>
    <t>01/2021</t>
  </si>
  <si>
    <t>REVISÃO 0</t>
  </si>
  <si>
    <t>UND</t>
  </si>
  <si>
    <t>QUANT</t>
  </si>
  <si>
    <t>Construção de Piscina, Banheiros e Sauna no Centro de Lazer</t>
  </si>
  <si>
    <t>Prefeitura Municipal de Cordeirópolis</t>
  </si>
  <si>
    <t>Cordeirópolis</t>
  </si>
  <si>
    <t>DEMOLIÇÕES E RETIRADAS</t>
  </si>
  <si>
    <t xml:space="preserve"> 03.04.020 </t>
  </si>
  <si>
    <t xml:space="preserve"> 04.04.020 </t>
  </si>
  <si>
    <t xml:space="preserve"> 05.08.120 </t>
  </si>
  <si>
    <t>ESTRUTURA - PISCINA</t>
  </si>
  <si>
    <t xml:space="preserve"> 14.11.271 </t>
  </si>
  <si>
    <t xml:space="preserve"> 3.5 </t>
  </si>
  <si>
    <t xml:space="preserve"> 06.12.020 </t>
  </si>
  <si>
    <t>REVESTIMENTO - PISCINA</t>
  </si>
  <si>
    <t xml:space="preserve"> 17.02.040 </t>
  </si>
  <si>
    <t xml:space="preserve"> 32.15.040 </t>
  </si>
  <si>
    <t xml:space="preserve"> 17.01.020 </t>
  </si>
  <si>
    <t xml:space="preserve"> 4.5 </t>
  </si>
  <si>
    <t xml:space="preserve"> 18.11.042 </t>
  </si>
  <si>
    <t>PISO EXTERNO - PISCINA</t>
  </si>
  <si>
    <t xml:space="preserve"> 5.2 </t>
  </si>
  <si>
    <t xml:space="preserve"> 5.3 </t>
  </si>
  <si>
    <t xml:space="preserve"> 5.4 </t>
  </si>
  <si>
    <t xml:space="preserve"> 5.5 </t>
  </si>
  <si>
    <t xml:space="preserve"> 19.03.060 </t>
  </si>
  <si>
    <t>ESTACAS - SAUNA/BANHEIROS</t>
  </si>
  <si>
    <t xml:space="preserve"> 01.21.100 </t>
  </si>
  <si>
    <t xml:space="preserve"> 12.05.020 </t>
  </si>
  <si>
    <t xml:space="preserve"> 6.4 </t>
  </si>
  <si>
    <t xml:space="preserve"> 12.05.010 </t>
  </si>
  <si>
    <t>FUNDAÇÃO - BLOCOS E VIGA BALDRAME - SAUNA/BANHEIROS</t>
  </si>
  <si>
    <t xml:space="preserve"> 06.02.040 </t>
  </si>
  <si>
    <t xml:space="preserve"> 09.02.020 </t>
  </si>
  <si>
    <t xml:space="preserve"> 7.3 </t>
  </si>
  <si>
    <t xml:space="preserve"> 7.4 </t>
  </si>
  <si>
    <t xml:space="preserve"> 10.01.060 </t>
  </si>
  <si>
    <t xml:space="preserve"> 7.5 </t>
  </si>
  <si>
    <t xml:space="preserve"> 7.6 </t>
  </si>
  <si>
    <t xml:space="preserve"> 7.7 </t>
  </si>
  <si>
    <t xml:space="preserve"> 7.8 </t>
  </si>
  <si>
    <t xml:space="preserve"> 7.9 </t>
  </si>
  <si>
    <t>SUPRAESTRUTURA - VIGAS, PILARES E LAJE- SAUNA/BANHEIROS</t>
  </si>
  <si>
    <t xml:space="preserve"> 8.3 </t>
  </si>
  <si>
    <t xml:space="preserve"> 8.4 </t>
  </si>
  <si>
    <t xml:space="preserve"> 8.5 </t>
  </si>
  <si>
    <t xml:space="preserve"> 8.6 </t>
  </si>
  <si>
    <t xml:space="preserve"> 13.01.130 </t>
  </si>
  <si>
    <t xml:space="preserve"> 8.7 </t>
  </si>
  <si>
    <t xml:space="preserve"> 8.8 </t>
  </si>
  <si>
    <t>CONTRAPISO - SAUNA/BANHEIROS</t>
  </si>
  <si>
    <t xml:space="preserve"> 17.05.070 </t>
  </si>
  <si>
    <t>ALVENARIA DE VEDAÇÃO - SAUNA/BANHEIROS</t>
  </si>
  <si>
    <t xml:space="preserve"> 14.01.050 </t>
  </si>
  <si>
    <t xml:space="preserve"> 14.04.210 </t>
  </si>
  <si>
    <t xml:space="preserve"> 10.3 </t>
  </si>
  <si>
    <t xml:space="preserve"> 14.20.010 </t>
  </si>
  <si>
    <t>COBERTURA METÁLICA - SAUNA/BANHEIROS</t>
  </si>
  <si>
    <t xml:space="preserve"> 11.2 </t>
  </si>
  <si>
    <t xml:space="preserve"> 11.3 </t>
  </si>
  <si>
    <t xml:space="preserve"> 11.4 </t>
  </si>
  <si>
    <t>CAIXA ENTERRADA HIDRÁULICA RETANGULAR, EM ALVENARIA COM BLOCOS DE CONCRETO, DIMENSÕES INTERNAS: 0,4X0,4X0,4 M PARA REDE DE DRENAGEM. AF_12/2020</t>
  </si>
  <si>
    <t xml:space="preserve"> 99258 </t>
  </si>
  <si>
    <t xml:space="preserve"> 11.5 </t>
  </si>
  <si>
    <t xml:space="preserve"> 11.6 </t>
  </si>
  <si>
    <t xml:space="preserve"> 11.7 </t>
  </si>
  <si>
    <t xml:space="preserve"> 11.8 </t>
  </si>
  <si>
    <t xml:space="preserve"> 16.12.060 </t>
  </si>
  <si>
    <t>REVESTIMENTO - SAUNA/BANHEIROS</t>
  </si>
  <si>
    <t>ISOLAMENTO TERMICO P/ LAJE/PISO-VERMICULITA/AREIA/CIM. 15CM</t>
  </si>
  <si>
    <t>SBC</t>
  </si>
  <si>
    <t xml:space="preserve"> 160100 </t>
  </si>
  <si>
    <t xml:space="preserve"> 33.10.030 </t>
  </si>
  <si>
    <t>ESQUADRIAS - SAUNA/BANHEIROS</t>
  </si>
  <si>
    <t xml:space="preserve"> 25.01.361 </t>
  </si>
  <si>
    <t xml:space="preserve"> 25.02.310 </t>
  </si>
  <si>
    <t xml:space="preserve"> 24.02.080 </t>
  </si>
  <si>
    <t xml:space="preserve"> 24.03.060 </t>
  </si>
  <si>
    <t>LOUÇAS E METAIS</t>
  </si>
  <si>
    <t xml:space="preserve"> 26.04.030 </t>
  </si>
  <si>
    <t xml:space="preserve"> 14.5 </t>
  </si>
  <si>
    <t xml:space="preserve"> 14.6 </t>
  </si>
  <si>
    <t xml:space="preserve"> 44.20.280 </t>
  </si>
  <si>
    <t xml:space="preserve"> 14.7 </t>
  </si>
  <si>
    <t xml:space="preserve"> 14.8 </t>
  </si>
  <si>
    <t xml:space="preserve"> 14.9 </t>
  </si>
  <si>
    <t xml:space="preserve"> 14.30.010 </t>
  </si>
  <si>
    <t xml:space="preserve"> 14.10 </t>
  </si>
  <si>
    <t xml:space="preserve"> 44.03.010 </t>
  </si>
  <si>
    <t xml:space="preserve"> 14.11 </t>
  </si>
  <si>
    <t xml:space="preserve"> 47.02.020 </t>
  </si>
  <si>
    <t xml:space="preserve"> 14.12 </t>
  </si>
  <si>
    <t xml:space="preserve"> 47.02.200 </t>
  </si>
  <si>
    <t xml:space="preserve"> 14.13 </t>
  </si>
  <si>
    <t xml:space="preserve"> 44.03.360 </t>
  </si>
  <si>
    <t xml:space="preserve"> 14.14 </t>
  </si>
  <si>
    <t xml:space="preserve"> 44.20.200 </t>
  </si>
  <si>
    <t xml:space="preserve"> 14.15 </t>
  </si>
  <si>
    <t xml:space="preserve"> 14.16 </t>
  </si>
  <si>
    <t xml:space="preserve"> 44.03.480 </t>
  </si>
  <si>
    <t>EQUIPAMENTOS</t>
  </si>
  <si>
    <t>MINI PLUS MAR INOX 12KW TRIF ATÉ 18M3 + QUADRO ANALÓGICO</t>
  </si>
  <si>
    <t>MINI PLUS MAR INOX 12KW TRIF ATÉ 18M3 + QUADRO DIGITAL</t>
  </si>
  <si>
    <t>HIDRÁULICA - ÁGUA FRIA</t>
  </si>
  <si>
    <t xml:space="preserve"> 46.01.060 </t>
  </si>
  <si>
    <t xml:space="preserve"> 48.02.400 </t>
  </si>
  <si>
    <t xml:space="preserve"> 16.7 </t>
  </si>
  <si>
    <t xml:space="preserve"> 48.05.010 </t>
  </si>
  <si>
    <t>HIDRÁULICA - ESGOTO</t>
  </si>
  <si>
    <t xml:space="preserve"> 17.4 </t>
  </si>
  <si>
    <t xml:space="preserve"> 49.01.016 </t>
  </si>
  <si>
    <t xml:space="preserve"> 17.5 </t>
  </si>
  <si>
    <t>CAIXA ENTERRADA HIDRÁULICA RETANGULAR, EM ALVENARIA COM BLOCOS DE CONCRETO, DIMENSÕES INTERNAS: 0,6X0,6X0,6 M PARA REDE DE ESGOTO. AF_12/2020</t>
  </si>
  <si>
    <t xml:space="preserve"> 97906 </t>
  </si>
  <si>
    <t xml:space="preserve"> 18.2 </t>
  </si>
  <si>
    <t xml:space="preserve"> 18.3 </t>
  </si>
  <si>
    <t xml:space="preserve"> 18.4 </t>
  </si>
  <si>
    <t xml:space="preserve"> 18.5 </t>
  </si>
  <si>
    <t xml:space="preserve"> 39.21.060 </t>
  </si>
  <si>
    <t xml:space="preserve"> 18.6 </t>
  </si>
  <si>
    <t xml:space="preserve"> 39.02.010 </t>
  </si>
  <si>
    <t xml:space="preserve"> 18.7 </t>
  </si>
  <si>
    <t xml:space="preserve"> 39.02.016 </t>
  </si>
  <si>
    <t xml:space="preserve"> 18.8 </t>
  </si>
  <si>
    <t xml:space="preserve"> 39.02.030 </t>
  </si>
  <si>
    <t xml:space="preserve"> 18.9 </t>
  </si>
  <si>
    <t xml:space="preserve"> 39.02.040 </t>
  </si>
  <si>
    <t xml:space="preserve"> 18.10 </t>
  </si>
  <si>
    <t xml:space="preserve"> 37.13.660 </t>
  </si>
  <si>
    <t xml:space="preserve"> 18.11 </t>
  </si>
  <si>
    <t xml:space="preserve"> 37.13.600 </t>
  </si>
  <si>
    <t xml:space="preserve"> 18.12 </t>
  </si>
  <si>
    <t xml:space="preserve"> 18.13 </t>
  </si>
  <si>
    <t xml:space="preserve"> 37.24.031 </t>
  </si>
  <si>
    <t xml:space="preserve"> 18.14 </t>
  </si>
  <si>
    <t xml:space="preserve"> 37.17.090 </t>
  </si>
  <si>
    <t xml:space="preserve"> 18.15 </t>
  </si>
  <si>
    <t xml:space="preserve"> 18.16 </t>
  </si>
  <si>
    <t xml:space="preserve"> 38.19.220 </t>
  </si>
  <si>
    <t xml:space="preserve"> 18.17 </t>
  </si>
  <si>
    <t xml:space="preserve"> 18.18 </t>
  </si>
  <si>
    <t xml:space="preserve"> 37.03.250 </t>
  </si>
  <si>
    <t xml:space="preserve"> 18.19 </t>
  </si>
  <si>
    <t xml:space="preserve"> 42.05.190 </t>
  </si>
  <si>
    <t xml:space="preserve"> 18.20 </t>
  </si>
  <si>
    <t xml:space="preserve"> 39.04.060 </t>
  </si>
  <si>
    <t xml:space="preserve"> 18.21 </t>
  </si>
  <si>
    <t xml:space="preserve"> 41.13.102 </t>
  </si>
  <si>
    <t xml:space="preserve"> 18.22 </t>
  </si>
  <si>
    <t xml:space="preserve"> 41.31.040 </t>
  </si>
  <si>
    <t>LIMPEZA FINAL DE OBRA</t>
  </si>
  <si>
    <t xml:space="preserve"> COT-01 </t>
  </si>
  <si>
    <t xml:space="preserve"> COT-02 </t>
  </si>
  <si>
    <t xml:space="preserve"> = PLACA DE OBRA = 15M2</t>
  </si>
  <si>
    <t xml:space="preserve"> 223,78</t>
  </si>
  <si>
    <t xml:space="preserve"> = DEMOLIÇÃO DE CONCRETO=223,78M3
A)LAJE PISCINA=25,20m(C)x12,60m(L)x0,40m(H)=127,01M3
B)PAREDE PISCINA=75,60m(P)x3,20m(H)x0,40m(H)=96,77M3
</t>
  </si>
  <si>
    <t xml:space="preserve"> 559,44</t>
  </si>
  <si>
    <t xml:space="preserve"> = DEMOLIÇÃO DE REVESTIMENTO=559,44M2
C)REV.LAJE PISCINA=25,20m(C)x12,60m(L)=317,52M2
D)REV. PAREDE PISCINA=75,60m(P)x3,20m(H)=241,92M2</t>
  </si>
  <si>
    <t xml:space="preserve"> 228,17</t>
  </si>
  <si>
    <t xml:space="preserve"> = RETIRADA PEDRA = 228.17M2
* Piso entorno da piscina</t>
  </si>
  <si>
    <t xml:space="preserve"> 342,1</t>
  </si>
  <si>
    <t xml:space="preserve"> = ENTULHO=263,16m3(V) x 1,30(empolamento)=342,10M3
A)LAJE PISCINA=25,20m(C)x12,60m(L)x0,40m(H)=127,01M3
B)PAREDE PISCINA=75,60m(P)x3,20m(H)x0,40m(H)=96,77M3
C)REV.LAJE PISCINA=317,52m2(A)x0,05m(H)=15,88M3
D)REV. PAREDE PISCINA=241,92m2(A)x0,05m(H)=12,096M3
E)REV. ENTORNO PISCINA=228,17m2(A)x0,05m(H)=11,41M3
* Considerado Aterro Rio Claro
</t>
  </si>
  <si>
    <t xml:space="preserve"> 43,92</t>
  </si>
  <si>
    <t xml:space="preserve"> = CONCRETO 25MPA - BOMBEADO = 43.92M3
A) LAJE DE PISO DA PISCINA=292,8m2(A)x 0,15m(H)=43,92M3
</t>
  </si>
  <si>
    <t xml:space="preserve"> = BOMBEAMENTO DO CONCRETO = 43.92M3</t>
  </si>
  <si>
    <t xml:space="preserve"> 128,6</t>
  </si>
  <si>
    <t xml:space="preserve"> = ALV. ESTRUTURAL CLASSE A =128,60M2
A)PAREDE NÍVEL -1,40=37,70m(C)x1,40m(H)=52,78M2
B)PAREDE NÍVEL -2,00=34,70m(C)x 2,00m(H)=69,4M2
C)PAREDE INTERMEDIÁRIA=10,70m(C)x0,60m(H)=6,42M2
</t>
  </si>
  <si>
    <t xml:space="preserve"> 7.810,96</t>
  </si>
  <si>
    <t xml:space="preserve"> = AÇO-CA 50 = 7810.96KG
A)Ø8,0=3864,00m(C)x0,395kg/m(COEF)=1526,28KG
B)Ø10,0=4848,00m(C)x 0,617kg/m(COEF)=2991,216KG
C)Ø12,5=3420,00m(C)x0,963kg/m(COEF)=3293,46KG
* Retirado da tabela de aço do projeto estrutural</t>
  </si>
  <si>
    <t xml:space="preserve"> 9,63</t>
  </si>
  <si>
    <t xml:space="preserve"> = ATERRO MANUAL=0,90m2(A)x10,70m(C)=9,63M3
* Aterro rampa </t>
  </si>
  <si>
    <t xml:space="preserve"> 550,0</t>
  </si>
  <si>
    <t xml:space="preserve"> = CHAPICO COM BIANCO=550,00M2
A)PAREDE NÍVEL -1,40=37,70m(C)x1,40m(H)x2(UND)=105,56M2
B)PAREDE NÍVEL -2,00=34,70m(C)x 2,00m(H)x2(UND)=138,8M2
C)PAREDE INTERMEDIÁRIA=10,70m(C)x0,60m(H)x2(UND)=12,84M2
D)LAJE DE PISO DA PISCINA=292,80m2(A)=292,80M2
</t>
  </si>
  <si>
    <t xml:space="preserve"> 20,18</t>
  </si>
  <si>
    <t xml:space="preserve"> = ARGAMASSA COM VEDACIT=20,18M3
A)PAREDE NÍVEL -1,40=105,56m2(A)x0,025m(H)x2(UND)=5,278M2
B)PAREDE NÍVEL -2,00=138,80m2(A)x0,025m(H)x2(UND)=6,94M2
C)PAREDE INTERMEDIÁRIA=12,84m2(A)x0,025m(H)x2(UND)=0,642M2
D)LAJE DE PISO DA PISCINA=292,80m2(A)x0,025m(H)=7,32M2
</t>
  </si>
  <si>
    <t xml:space="preserve"> 421,4</t>
  </si>
  <si>
    <t xml:space="preserve"> = MANTA ASFALTICA=421,40M2
A)PAREDE NÍVEL -1,40=37,70m(C)x1,40m(H)=52,78M2
B)PAREDE NÍVEL -2,00=34,70m(C)x 2,00m(H)=69,4M2
C)PAREDE INTERMEDIÁRIA=10,70m(C)x0,60m(H)=6,42M2
D)LAJE DE PISO DA PISCINA=292,80m2(A)=292,80M2
* Seguindo manual de impermeabilização da VEDACIT</t>
  </si>
  <si>
    <t xml:space="preserve"> 13,75</t>
  </si>
  <si>
    <t xml:space="preserve"> = ARGAMASSA DE PROTEÇÃO=13,75M3
A)PAREDE NÍVEL -1,40=105,56m2(A)x0,025m(H)=2,639M2
B)PAREDE NÍVEL -2,00=138,80m2(A)x0,025m(H)=3,47M2
C)PAREDE INTERMEDIÁRIA=12,84m2(A)x0,025m(H)=0,321M2
D)LAJE DE PISO DA PISCINA=292,80m2(A)x0,025m(H)=7,32M2
</t>
  </si>
  <si>
    <t xml:space="preserve"> = REVESTIMENTO CERAMICO 20X20=421,40M2
A)PAREDE NÍVEL -1,40=37,70m(C)x1,40m(H)=52,78M2
B)PAREDE NÍVEL -2,00=34,70m(C)x 2,00m(H)=69,4M2
C)PAREDE INTERMEDIÁRIA=10,70m(C)x0,60m(H)=6,42M2
D)LAJE DE PISO DA PISCINA=292,80m2(A)=292,80M2
</t>
  </si>
  <si>
    <t xml:space="preserve"> = CHAPISCO COM BIANCO = 228,17M2
</t>
  </si>
  <si>
    <t xml:space="preserve"> 5,7</t>
  </si>
  <si>
    <t xml:space="preserve"> = ARG. COM VEDACIT = 228,17m2 (A) x 0,025m (H) = 5,70M3</t>
  </si>
  <si>
    <t xml:space="preserve"> = MANTA ASFÁLTICA = 228,17m2 (A)</t>
  </si>
  <si>
    <t xml:space="preserve"> = ARG. PROTEÇÃO = 228,17m2 (A) x 0,025m (H) = 5,70M3</t>
  </si>
  <si>
    <t xml:space="preserve"> = REVESTIMENTO EM PEDRA = 228,17M2</t>
  </si>
  <si>
    <t xml:space="preserve"> = TX SONDAGEM = 1UN</t>
  </si>
  <si>
    <t xml:space="preserve"> = SONDAGEM TERRENO = 20M
* Não identificado documentação com sondagem</t>
  </si>
  <si>
    <t xml:space="preserve"> 160,0</t>
  </si>
  <si>
    <t xml:space="preserve"> = ESTACA Ø25 = 160M
* Não identificado comprimento das estacas no projeto estrutural
* Conferir com projetista após sondagem</t>
  </si>
  <si>
    <t xml:space="preserve"> = TX ESTACA = 1UN</t>
  </si>
  <si>
    <t xml:space="preserve"> 23,64</t>
  </si>
  <si>
    <t xml:space="preserve"> = ESCAVAÇÃO = 23,64M3
A)BLOCOS=1,00m(C)x1,00m(L)x0,60m(H)x9,00(UN)=5,40M3
B)VIGA BALDRAME=56,11m(C)x0,65m(L)x0,50m(H)=18,24M3
</t>
  </si>
  <si>
    <t xml:space="preserve"> 55,69</t>
  </si>
  <si>
    <t xml:space="preserve"> = FORMA = 55,69M3
A)BLOCOS =2,40m(P)x0,50m(H)x9,00(UN)=10,80M2
B)VIGA BALDRAME =56,11m(C)x0,40m(H)x2,00(UN)=44,89M2</t>
  </si>
  <si>
    <t xml:space="preserve"> 611,9</t>
  </si>
  <si>
    <t xml:space="preserve"> = AÇO-CA 50=611,90KG
A)Ø8,0=312,00m(C)x0,395kg/m(COEF)=123,24KG
B)Ø10,0=792,00m(C)x 0,617kg/m(COEF)=488,664KG
</t>
  </si>
  <si>
    <t xml:space="preserve"> 86,9</t>
  </si>
  <si>
    <t xml:space="preserve"> = AÇO-CA 60=86,86KG
A)Ø5,0=564,00m(C)x0,154kg/m(COEF)=86,856KG</t>
  </si>
  <si>
    <t xml:space="preserve"> 0,86</t>
  </si>
  <si>
    <t xml:space="preserve"> = LASTRO BRITA-ESP 5CM = 0,86M3
A)BLOCOS=A=0,60m(C)x0,60m(L)x0,05m(H)x9,00(UN)=0,16M3
B)VIGA BALDRAME=LASTRO DE BRITA=56,11m(C)x0,25m(L)x0,05m(H)=0,70M3</t>
  </si>
  <si>
    <t xml:space="preserve"> 7,23</t>
  </si>
  <si>
    <t xml:space="preserve"> = CONCRETO-25MPa = 7,23M3
A)BLOCOS=0,60m(C)x0,60m(L)x0,50m(H)x9,00(UN)=1,62M3
B)VIGA BALDRAME=56,11m(C)x0,25m(L)x0,40m(H)=5,61M3</t>
  </si>
  <si>
    <t xml:space="preserve"> = BOMBEAMENTO CONCRETO = 7,23M3</t>
  </si>
  <si>
    <t xml:space="preserve"> 16,4</t>
  </si>
  <si>
    <t xml:space="preserve"> = REATERRO = 16,40M3
A)BLOCOS =5,40m3(V)-1,62m3(V)=3,78M3
B)VIGA BALDRAME=18,24m3(V)-5,61m3(V)=12,62M3</t>
  </si>
  <si>
    <t xml:space="preserve"> = IMPERMEABILIZAÇÃO C/ NEUTROL = 55,69M3
A)BLOCOS =2,40m(P)x0,50m(H)x9,00(UN)=10,80M2
B)VIGA BALDRAME =56,11m(C)x0,40m(H)x2,00(UN)=44,89M2</t>
  </si>
  <si>
    <t xml:space="preserve"> 103,85</t>
  </si>
  <si>
    <t xml:space="preserve"> = FORMA = 103,85M2
A)VIGAS =99,57m(C)x0,19m(H)x2,00(UN)=37,83M2
B)PILARES=117,90m(C)x0,56m(P)=66,02M2
COMPRIMENTO PILARES=117,90M
P1=2,60m(C)2,95m(C)2,20m(C)=7,75M
P2=2,60m(C)2,95m(C)2,20m(C)=7,75M
P3=2,60m(C)2,95m(C)2,20m(C)=7,75M
P4=2,60m(C)2,95m(C)2,20m(C)=7,75M
P5=2,60m(C)2,95m(C)=5,55M
P6=2,60m(C)2,95m(C)2,20m(C)=7,75M
P7=2,60m(C)2,95m(C)1,20m(C)=6,75M
P8=2,95m(C)1,20m(C)=4,15M
P9=2,60m(C)2,95m(C)1,20m(C)=6,75M
P10=2,60m(C)2,95m(C)1,20m(C)=6,75M
P11=2,60m(C)2,95m(C)1,20m(C)=6,75M
P12=2,95m(C)2,20m(C)=5,15M
P13=2,95m(C)=2,95M
P14=2,95m(C)=2,95M
P15=2,95m(C)=2,95M
P16=2,95m(C)=2,95M
P17=2,95m(C)=2,95M
P18=2,95m(C)2,20m(C)=5,15M
P19=2,95m(C)=2,95M
P20=2,95m(C)2,20m(C)=5,15M
P21=2,95m(C)1,20m(C)=4,15M
P22=2,95m(C)2,20m(C)=5,15M</t>
  </si>
  <si>
    <t xml:space="preserve"> 917,02</t>
  </si>
  <si>
    <t xml:space="preserve"> = AÇO-CA 50=917,02KG
A)Ø6,3=600,00m(C)x0,245kg/m(COEF)=147KG
B)Ø10,0=1248,00m(C)x 0,617kg/m(COEF)=770,016KG</t>
  </si>
  <si>
    <t xml:space="preserve"> 38,81</t>
  </si>
  <si>
    <t xml:space="preserve"> = AÇO-CA 60=38,81KG
A)Ø5,0=252,00m(C)x0,154kg/m(COEF)=38,808KG</t>
  </si>
  <si>
    <t xml:space="preserve"> 4,96</t>
  </si>
  <si>
    <t xml:space="preserve"> = CONCRETO USINADO = 4,96M3
A)CONCRETO USINADO=99,57m(C)x0,14m(L)x0,19m(H)=2,65M3
B)CONCRETO USINADO=117,90m(C)x0,14m(L)x0,14m(H)=2,31M3
</t>
  </si>
  <si>
    <t xml:space="preserve"> = BOMBEAMENTO CONCRETO = 4,96M3</t>
  </si>
  <si>
    <t xml:space="preserve"> 54,56</t>
  </si>
  <si>
    <t xml:space="preserve"> = LAJE PRÉMOLDADA LT-12=54,56M2
L03=5,21m(C)x4,00m(L)=20,84m2(A)
L04=5,21m(C)x4,00m(L)=20,84m2(A)
L05=3,39m(C)x1,90m(L)=6,441m2(A)
L06=3,39m(C)x1,90m(L)=6,441m2(A)
</t>
  </si>
  <si>
    <t xml:space="preserve"> 22,71</t>
  </si>
  <si>
    <t xml:space="preserve"> = LAJE PRÉMOLDADA LT-16=22,71M2
L01=5,21m(C)x4,00m(L)=20,84m2(A)
L02=1,70m(C)x1,10m(L)=1,87m2(A)</t>
  </si>
  <si>
    <t xml:space="preserve"> 114,36</t>
  </si>
  <si>
    <t xml:space="preserve"> = TELA Q92 #4,2x4,2 = 77,27 m2 (A) x 1,48kg/m2 = 114,36KG
* Armadura de distribuição superior a laje</t>
  </si>
  <si>
    <t xml:space="preserve"> 19,86</t>
  </si>
  <si>
    <t xml:space="preserve"> = REATERRO COMPACTADO=19,86M3
A)NÍVEL -2,53=90,0m2(A)x0,10m(H)=9,00m3
B)NÍVEL 0,00=108,57m2(A)x0,10m(H)=10,86m3</t>
  </si>
  <si>
    <t xml:space="preserve"> 198,6</t>
  </si>
  <si>
    <t xml:space="preserve"> = LONA PLÁSTICA=198,57M2
A)NÍVEL -2,53=90,0m2(A)
B)NÍVEL 0,00=108,57m2(A)</t>
  </si>
  <si>
    <t xml:space="preserve"> 9,93</t>
  </si>
  <si>
    <t xml:space="preserve"> = LASTRO DE BRITA=9,93M3
A)NÍVEL -2,53=90,0m2(A)x0,05m(H)=4,50m3
B)NÍVEL 0,00=108,57m2(A)x0,05m(H)=5,43m3
</t>
  </si>
  <si>
    <t xml:space="preserve"> = PISO CONCRETO=19,86M3
A)NÍVEL -2,53=90,0m2(A)x0,10m(H)=9,00m3
B)NÍVEL 0,00=108,57m2(A)x0,10m(H)=10,86m3</t>
  </si>
  <si>
    <t xml:space="preserve"> = ARGAMASSA IMPERMEÁVEL REGULARIZAÇÃO=4,96M3
A)NÍVEL -2,53=90,0m2(A)x0,025m(H)=2,25m3
B)NÍVEL 0,00=108,57m2(A)x0,025m(H)=2,71m3</t>
  </si>
  <si>
    <t xml:space="preserve"> 22,44</t>
  </si>
  <si>
    <t xml:space="preserve"> = ALVENARIA DE EMBASAMENTO = 56,11m (C) x 0,40m (H) = 22,44M2
</t>
  </si>
  <si>
    <t xml:space="preserve"> 306,01</t>
  </si>
  <si>
    <t xml:space="preserve"> = ALVENARIA=306,01M2
A)NÍVEL -2,53 -&gt; 0,00=24,97m(C)x2,13m(H)=53,1861M2
B)NÍVEL +0,07 -&gt; +3,02=61,35m(C)x2,82m(H)=173,007M2
C)NÍVEL +3,02 -&gt; +4,22=10,43m(C)x1,20m(H)=12,516M2
D)NÍVEL +3,02 -&gt; +5,22=30,59m(C)x2,20m(H)=67,298M2
</t>
  </si>
  <si>
    <t xml:space="preserve"> 0,66</t>
  </si>
  <si>
    <t xml:space="preserve"> = VERGA E CONTRAVERGA=16,57M x 0,20m (H) x 0,20m (L) = 0,6628M3
JANELA MAXI AR =0,80m(L)+0,60m(H)x4(UN)=5,60M
PORTA LAMBRI ALUMINIO BRANCO=1,00m(L)+0,60m(H)x5(UN)=8,00M
PORTÃO GRADE FERRO=0,87m(L)+0,60m(H)x1(UN)=1,47M
PORTA LAMBRI ALUMINIO BRANCO=0,90m(L)+0,60m(H)x1(UN)=1,50M
* folgas de 30cm para cada lado</t>
  </si>
  <si>
    <t xml:space="preserve"> = GRELHA HEMISFÉRICA = 4UN</t>
  </si>
  <si>
    <t xml:space="preserve"> 57,83</t>
  </si>
  <si>
    <t xml:space="preserve"> = CHAPA N24 = 57,83M
A) RUFO DA PLATIBANDA = 39,73M
B) CALHA = 18,10M</t>
  </si>
  <si>
    <t xml:space="preserve"> = TUBO Ø100 = 30M</t>
  </si>
  <si>
    <t xml:space="preserve"> = CAIXA DRENAGEM = 6UN</t>
  </si>
  <si>
    <t xml:space="preserve"> 241,05</t>
  </si>
  <si>
    <t xml:space="preserve"> = PERFIL U 3' =4,33kg/m2(COEF)x55,67m2(A)=241,05KG
</t>
  </si>
  <si>
    <t xml:space="preserve"> 55,67</t>
  </si>
  <si>
    <t xml:space="preserve"> = PREPARO DE BASE= 55,67M2</t>
  </si>
  <si>
    <t xml:space="preserve"> = ESMALTE= 55,67M2</t>
  </si>
  <si>
    <t xml:space="preserve"> = TELAHMENTO=55,67M2</t>
  </si>
  <si>
    <t xml:space="preserve"> 743,85</t>
  </si>
  <si>
    <t xml:space="preserve"> = CHAPISCO = 743,85M2
A)PAREDES=306,01m2(A)x2,00(UN)=612,02M2
B)TETO=131,83M2</t>
  </si>
  <si>
    <t xml:space="preserve"> = EMBOÇO= 743,85M2
A)PAREDES=306,01m2(A)x2,00(UN)=612,02M2
B)TETO=131,83M2</t>
  </si>
  <si>
    <t xml:space="preserve"> = REVESTIMENTO CERÂMICO=306,01m2(A)</t>
  </si>
  <si>
    <t xml:space="preserve"> 113,08</t>
  </si>
  <si>
    <t xml:space="preserve"> = ISOLAMENTO TÉRMICO SAUNA = 113,08M2
A) TETO SAUNA = 12,20m2 (A) x 2(UN) = 24,40m2
B) PAREDES SAUNA = 14,78m (C) x 3,00m (H) x 2(UN) = 88,68m2</t>
  </si>
  <si>
    <t xml:space="preserve"> 437,84</t>
  </si>
  <si>
    <t xml:space="preserve"> = TINTA ACRÍLICA = 437,84M2
A) PAREDES EXTERNAS = 306,01m2
B) TETO = 131,83m2</t>
  </si>
  <si>
    <t xml:space="preserve"> 0,96</t>
  </si>
  <si>
    <t xml:space="preserve"> = JANELA MAXIM-AR=0,80m(L)x0,60m(H) x2(UN)=0,96M2
</t>
  </si>
  <si>
    <t xml:space="preserve"> 12,39</t>
  </si>
  <si>
    <t xml:space="preserve"> = PORTA LAMBRI ALUMINIO BRANCO=1,00m(L)x2,10m(H) x5(UN)=10,50M2
PORTA LAMBRI ALUMINIO BRANCO=0,90m(L)x2,10m(H) x1(UN)=1,89M2
</t>
  </si>
  <si>
    <t xml:space="preserve"> 1,83</t>
  </si>
  <si>
    <t xml:space="preserve"> = PORTA GRADE FERRO=0,87m(L)x2,10m(H) x1(UN)=1,83M2</t>
  </si>
  <si>
    <t xml:space="preserve"> = ESCADA MARINHEIRO = 3M</t>
  </si>
  <si>
    <t xml:space="preserve"> = ESPELHO = 2(un) x 2m2(A) = 4M2</t>
  </si>
  <si>
    <t xml:space="preserve"> = DISPENSAR PAPEL HIGIÊNICO = 2UN</t>
  </si>
  <si>
    <t xml:space="preserve"> 0,6</t>
  </si>
  <si>
    <t xml:space="preserve"> = TAMPO GRANITO = 0,6M2
</t>
  </si>
  <si>
    <t xml:space="preserve"> = BACIA SIFONADA = 2CJ</t>
  </si>
  <si>
    <t xml:space="preserve"> = TAMPO PLÁSTICO = 2UN</t>
  </si>
  <si>
    <t xml:space="preserve"> = CUBA DE LOUÇA = 2UN</t>
  </si>
  <si>
    <t xml:space="preserve"> = CHUVEIRO = 2UN</t>
  </si>
  <si>
    <t xml:space="preserve"> 1,75</t>
  </si>
  <si>
    <t xml:space="preserve"> = DIVISÓRIA = 0,8350 x 2,10m (H) = 1,75M2</t>
  </si>
  <si>
    <t xml:space="preserve"> = REGISTRO GAVETA COM CANOPLA = 2UN</t>
  </si>
  <si>
    <t xml:space="preserve"> = REGISTRO CHUVEIRO = 2UN</t>
  </si>
  <si>
    <t xml:space="preserve"> = DUCHA = 1UN</t>
  </si>
  <si>
    <t xml:space="preserve"> = SIFÃO CROMADO = 2UN</t>
  </si>
  <si>
    <t xml:space="preserve"> = TORNEIRA DE MESA = 2UN</t>
  </si>
  <si>
    <t xml:space="preserve"> = MINI PLUS + QUADRO ANALOGICO = 1UN</t>
  </si>
  <si>
    <t xml:space="preserve"> = MINI PLUS + QUADRO DIGITAL = 1UN</t>
  </si>
  <si>
    <t xml:space="preserve"> = TUBO Ø75 = 24M</t>
  </si>
  <si>
    <t xml:space="preserve"> 90,0</t>
  </si>
  <si>
    <t xml:space="preserve"> = TUBO Ø60 = 90M</t>
  </si>
  <si>
    <t xml:space="preserve"> 18,0</t>
  </si>
  <si>
    <t xml:space="preserve"> = TUBO Ø50 = 18M</t>
  </si>
  <si>
    <t xml:space="preserve"> = TUBO Ø50 = 12M</t>
  </si>
  <si>
    <t xml:space="preserve"> = TUBO Ø25 = 18M</t>
  </si>
  <si>
    <t xml:space="preserve"> = RESERVATÓRIO = 2UN</t>
  </si>
  <si>
    <t xml:space="preserve"> = TUBO Ø50 = 6M</t>
  </si>
  <si>
    <t xml:space="preserve"> = TUBO Ø100 = 24M</t>
  </si>
  <si>
    <t xml:space="preserve"> = TUBO Ø40 = 18M</t>
  </si>
  <si>
    <t xml:space="preserve"> = CAIXA SIFONADA = 4NU</t>
  </si>
  <si>
    <t xml:space="preserve"> = CAIXA ESGOTO = 4UN</t>
  </si>
  <si>
    <t xml:space="preserve"> = CAIXA 4X4 = 10UN</t>
  </si>
  <si>
    <t xml:space="preserve"> = INTERRUPTOR = 6CJ</t>
  </si>
  <si>
    <t xml:space="preserve"> = TOMADA = 6CJ</t>
  </si>
  <si>
    <t xml:space="preserve"> = CAIXA 4X2 = 6UN</t>
  </si>
  <si>
    <t xml:space="preserve"> = CABO COBRE #16 = 200M</t>
  </si>
  <si>
    <t xml:space="preserve"> = CABO COBRE #1,5 = 200M
* circuitos de iluminação</t>
  </si>
  <si>
    <t xml:space="preserve"> = CABO COBRE #2,5 = 200M
* circuitos de tomada</t>
  </si>
  <si>
    <t xml:space="preserve"> = CABO COBRE #6 = 200M
* circuitos de equipamentos</t>
  </si>
  <si>
    <t xml:space="preserve"> = CABO COBRE #10 = 200M
* circuitos de equipamentos</t>
  </si>
  <si>
    <t xml:space="preserve"> = DISJUNTOR TRIF. ENTRADA = 1UN
</t>
  </si>
  <si>
    <t xml:space="preserve"> = DISJUNTOR UNIPOLAR = 2UN</t>
  </si>
  <si>
    <t xml:space="preserve"> = DISJUNTOR BIPOLAR = 4UN</t>
  </si>
  <si>
    <t xml:space="preserve"> = DPS = 4UN</t>
  </si>
  <si>
    <t xml:space="preserve"> = DR = 1UN</t>
  </si>
  <si>
    <t xml:space="preserve"> = ELETRODUTO LEVE Ø25  = 200M</t>
  </si>
  <si>
    <t xml:space="preserve"> = ELETRODUTO Ø32 = 50M</t>
  </si>
  <si>
    <t xml:space="preserve"> = ELETRODUTO PESADO = 50M
* Entrada de energia</t>
  </si>
  <si>
    <t xml:space="preserve"> = QUADRO = 1UN</t>
  </si>
  <si>
    <t xml:space="preserve"> = HASTE DE ATERRAMENTO = 1UN</t>
  </si>
  <si>
    <t xml:space="preserve"> = CABO NU = 5M</t>
  </si>
  <si>
    <t xml:space="preserve"> = LUMINÁRIA SAUNA = 4UN</t>
  </si>
  <si>
    <t xml:space="preserve"> = LUMINÁRIA LED PLAFON = 6UN</t>
  </si>
  <si>
    <t xml:space="preserve"> 619,07</t>
  </si>
  <si>
    <t xml:space="preserve"> = LIMPEZA FINAL DE OBRA = 619,07M2
* Área da planta baixa</t>
  </si>
  <si>
    <t>DEMOLIÇÃO MANUAL DE REVESTIMENTO CERÂMICO, INCLUINDO A BASE</t>
  </si>
  <si>
    <t>RETIRADA DE REVESTIMENTO EM PEDRA, GRANITO OU MÁRMORE, EM PISO</t>
  </si>
  <si>
    <t>TRANSPORTE DE ENTULHO, PARA DISTÂNCIAS SUPERIORES AO 15° KM ATÉ O 20° KM</t>
  </si>
  <si>
    <t>ALVENARIA DE BLOCO DE CONCRETO ESTRUTURAL 19 X 19 X 39 CM - CLASSE A</t>
  </si>
  <si>
    <t>ATERRO MANUAL APILOADO DE ÁREA INTERNA COM MAÇO DE 30 KG</t>
  </si>
  <si>
    <t>CHAPISCO COM BIANCO</t>
  </si>
  <si>
    <t>IMPERMEABILIZAÇÃO EM MANTA ASFÁLTICA COM ARMADURA, TIPO III-B, ESPESSURA DE 4 MM</t>
  </si>
  <si>
    <t>ARGAMASSA DE REGULARIZAÇÃO E/OU PROTEÇÃO</t>
  </si>
  <si>
    <t>REVESTIMENTO EM PLACA CERÂMICA ESMALTADA DE 20X20 CM, TIPO MONOCOLOR, ASSENTADO E REJUNTADO COM ARGAMASSA INDUSTRIALIZADA</t>
  </si>
  <si>
    <t>REVESTIMENTO EM PEDRA MINEIRA COMUM</t>
  </si>
  <si>
    <t>SONDAGEM DO TERRENO A TRADO</t>
  </si>
  <si>
    <t>ESTACA ESCAVADA MECANICAMENTE, DIÂMETRO DE 25 CM ATÉ 20 T</t>
  </si>
  <si>
    <t>TAXA DE MOBILIZAÇÃO E DESMOBILIZAÇÃO DE EQUIPAMENTOS PARA EXECUÇÃO DE ESTACA ESCAVADA</t>
  </si>
  <si>
    <t>ESCAVAÇÃO MANUAL EM SOLO DE 1ª E 2ª CATEGORIA EM VALA OU CAVA ALÉM DE 1,5 M</t>
  </si>
  <si>
    <t>FORMA PLANA EM COMPENSADO PARA ESTRUTURA CONVENCIONAL</t>
  </si>
  <si>
    <t>ARMADURA EM BARRA DE AÇO CA-60 (A OU B) FYK = 600 MPA</t>
  </si>
  <si>
    <t>LAJE PRÉ-FABRICADA MISTA VIGOTA TRELIÇADA/LAJOTA CERÂMICA - LT 12 (8+4) E CAPA COM CONCRETO DE 25 MPA</t>
  </si>
  <si>
    <t>REATERRO COMPACTADO MECANIZADO DE VALA OU CAVA COM COMPACTADOR</t>
  </si>
  <si>
    <t>PISO COM REQUADRO EM CONCRETO SIMPLES COM CONTROLE DE FCK= 20 MPA</t>
  </si>
  <si>
    <t>ALVENARIA DE EMBASAMENTO EM BLOCO DE CONCRETO DE 14 X 19 X 39 CM - CLASSE A</t>
  </si>
  <si>
    <t>ALVENARIA DE BLOCO CERÂMICO DE VEDAÇÃO, USO REVESTIDO, DE 14 CM</t>
  </si>
  <si>
    <t>VERGAS, CONTRAVERGAS E PILARETES DE CONCRETO ARMADO</t>
  </si>
  <si>
    <t>TELHAMENTO EM CHAPA DE AÇO PRÉ-PINTADA COM EPÓXI E POLIÉSTER, PERFIL TRAPEZOIDAL, COM ESPESSURA DE 0,50 MM E ALTURA DE 40 MM</t>
  </si>
  <si>
    <t>TINTA ACRÍLICA ANTIMOFO EM MASSA, INCLUSIVE PREPARO</t>
  </si>
  <si>
    <t>CAIXILHO EM ALUMÍNIO MAXIM-AR COM VIDRO - BRANCO</t>
  </si>
  <si>
    <t>PORTA DE ABRIR EM ALUMÍNIO TIPO LAMBRI, SOB MEDIDA - COR BRANCA</t>
  </si>
  <si>
    <t>PORTA/PORTÃO DE ABRIR EM VENEZIANA DE FERRO, SOB MEDIDA</t>
  </si>
  <si>
    <t>ESCADA MARINHEIRO (GALVANIZADA)</t>
  </si>
  <si>
    <t>ESPELHO COMUM DE 3 MM COM MOLDURA EM ALUMÍNIO</t>
  </si>
  <si>
    <t>TAMPA DE PLÁSTICO PARA BACIA SANITÁRIA</t>
  </si>
  <si>
    <t>DIVISÓRIA EM PLACAS DE GRANITO COM ESPESSURA DE 3 CM</t>
  </si>
  <si>
    <t>DISPENSER TOALHEIRO EM ABS E POLICARBONATO PARA BOBINA DE 20 CM X 200 M, COM ALAVANCA</t>
  </si>
  <si>
    <t>REGISTRO DE GAVETA EM LATÃO FUNDIDO CROMADO COM CANOPLA, DN= 3/4´ - LINHA ESPECIAL</t>
  </si>
  <si>
    <t>REGISTRO REGULADOR DE VAZÃO PARA CHUVEIRO E DUCHA EM LATÃO CROMADO COM CANOPLA, DN= 1/2´</t>
  </si>
  <si>
    <t>DUCHA HIGIÊNICA CROMADA</t>
  </si>
  <si>
    <t>SIFÃO DE METAL CROMADO DE 1 1/2´ X 2´</t>
  </si>
  <si>
    <t>TORNEIRA DE MESA PARA LAVATÓRIO COMPACTA, ACIONAMENTO HIDROMECÂNICO, EM LATÃO CROMADO, DN= 1/2´</t>
  </si>
  <si>
    <t>TUBO DE PVC RÍGIDO SOLDÁVEL MARROM, DN= 60 MM, (2´), INCLUSIVE CONEXÕES</t>
  </si>
  <si>
    <t>RESERVATÓRIO EM POLIETILENO COM TAMPA DE ROSCA - CAPACIDADE DE 1.000 LITROS</t>
  </si>
  <si>
    <t>TORNEIRA DE BOIA, DN= 3/4´</t>
  </si>
  <si>
    <t>CAIXA SIFONADA DE PVC RÍGIDO DE 100 X 100 X 50 MM, COM GRELHA</t>
  </si>
  <si>
    <t>CABO DE COBRE FLEXÍVEL DE 16 MM², ISOLAMENTO 0,6/1KV - ISOLAÇÃO HEPR 90°C</t>
  </si>
  <si>
    <t>CABO DE COBRE DE 1,5 MM², ISOLAMENTO 750 V - ISOLAÇÃO EM PVC 70°C</t>
  </si>
  <si>
    <t>CABO DE COBRE DE 2,5 MM², ISOLAMENTO 750 V - ISOLAÇÃO EM PVC 70°C</t>
  </si>
  <si>
    <t>CABO DE COBRE DE 6 MM², ISOLAMENTO 750 V - ISOLAÇÃO EM PVC 70°C</t>
  </si>
  <si>
    <t>CABO DE COBRE DE 10 MM², ISOLAMENTO 750 V - ISOLAÇÃO EM PVC 70°C</t>
  </si>
  <si>
    <t>DISJUNTOR TERMOMAGNÉTICO, TRIPOLAR 220/380 V, CORRENTE DE 60 A ATÉ 100 A</t>
  </si>
  <si>
    <t>DISJUNTOR TERMOMAGNÉTICO, UNIPOLAR 127/220 V, CORRENTE DE 10 A ATÉ 30 A</t>
  </si>
  <si>
    <t>SUPRESSOR DE SURTO MONOFÁSICO, FASE-TERRA, IN 4 A 11 KA, IMAX. DE SURTO DE 12 ATÉ 15 KA</t>
  </si>
  <si>
    <t>DISPOSITIVO DIFERENCIAL RESIDUAL DE 63 A X 30 MA - 4 POLOS</t>
  </si>
  <si>
    <t>ELETRODUTO DE PVC CORRUGADO FLEXÍVEL REFORÇADO, DIÂMETRO EXTERNO DE 32 MM</t>
  </si>
  <si>
    <t>QUADRO DE DISTRIBUIÇÃO UNIVERSAL DE EMBUTIR, PARA DISJUNTORES 70 DIN / 50 BOLT-ON - 225 A - SEM COMPONENTES</t>
  </si>
  <si>
    <t>HASTE DE ATERRAMENTO DE 3/4</t>
  </si>
  <si>
    <t>CABO DE COBRE NU, TÊMPERA MOLE, CLASSE 2, DE 25 MM²</t>
  </si>
  <si>
    <t>LUMINÁRIA BLINDADA TIPO ARANDELA DE 45º E 90º, PARA LÂMPADA LED</t>
  </si>
  <si>
    <t>LUMINÁRIA LED RETANGULAR DE SOBREPOR COM DIFUSOR TRANSLÚCIDO, 4000 K, FLUXO LUMINOSO DE 3690 A 4800 LM, POTÊNCIA DE 38 A 41 W</t>
  </si>
  <si>
    <t xml:space="preserve"> = TORNEIRA DE BOIA = 2UN</t>
  </si>
  <si>
    <t>CDHU</t>
  </si>
  <si>
    <t>11/2021</t>
  </si>
  <si>
    <t>CDHU-COMPOSIÇÃO DE CUSTO UNITÁRIO</t>
  </si>
  <si>
    <t>CDHU-INSUMOS</t>
  </si>
  <si>
    <t>02/2022</t>
  </si>
  <si>
    <t>19.1</t>
  </si>
  <si>
    <t>99804</t>
  </si>
  <si>
    <t>19.2</t>
  </si>
  <si>
    <t xml:space="preserve">99807   </t>
  </si>
  <si>
    <t xml:space="preserve"> 12.4</t>
  </si>
  <si>
    <t xml:space="preserve"> 12.5</t>
  </si>
  <si>
    <t>REVISÃO 1</t>
  </si>
  <si>
    <t>5069769785</t>
  </si>
  <si>
    <t>28027230220423596</t>
  </si>
  <si>
    <t>Considerado ISS 3%</t>
  </si>
  <si>
    <t>SINAPI 02-2022</t>
  </si>
  <si>
    <t>SIURB 11-2021</t>
  </si>
  <si>
    <t>CDHU 11-2021</t>
  </si>
  <si>
    <t>R. Dr. José Luís Cembraneli, 511 - Vila Olimpya, Cordeirópolis - SP, 13491-122</t>
  </si>
  <si>
    <t>Davi Guedes da Silva</t>
  </si>
  <si>
    <t>LIMPEZA DE PISO CERÂMICO OU PORCELANATO UTILIZANDO ESCOVAÇÃO MANUAL.DETERGENTE NEUTRO E ESCOVAÇÃO MANUAL.</t>
  </si>
  <si>
    <t>LIMPEZA DE REVESTIMENTO CERÂMICO EM PAREDE UTILIZANDO DETERGENTE NEUTRO E ESCOVAÇÃO MANUAL.</t>
  </si>
</sst>
</file>

<file path=xl/styles.xml><?xml version="1.0" encoding="utf-8"?>
<styleSheet xmlns="http://schemas.openxmlformats.org/spreadsheetml/2006/main">
  <numFmts count="1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&quot;\ #,##0.00"/>
    <numFmt numFmtId="166" formatCode="0.000000"/>
    <numFmt numFmtId="167" formatCode="0.0000000"/>
    <numFmt numFmtId="168" formatCode="&quot;R$&quot;\ #,##0.00;&quot;R$&quot;\ #,##0.00;"/>
    <numFmt numFmtId="169" formatCode="_(* #,##0.00_);_(* \(#,##0.00\);_(* &quot;-&quot;??_);_(@_)"/>
    <numFmt numFmtId="170" formatCode="_(&quot;R$ &quot;* #,##0_);_(&quot;R$ &quot;* \(#,##0\);_(&quot;R$ &quot;* &quot;-&quot;_);_(@_)"/>
    <numFmt numFmtId="171" formatCode="&quot;R$ &quot;#,##0_);\(&quot;R$ &quot;#,##0\)"/>
    <numFmt numFmtId="172" formatCode="0.0000"/>
    <numFmt numFmtId="173" formatCode="mm/yyyy"/>
    <numFmt numFmtId="174" formatCode="_(&quot;R$ &quot;* #,##0.00_);_(&quot;R$ &quot;* \(#,##0.00\);_(&quot;R$ &quot;* \-??_);_(@_)"/>
    <numFmt numFmtId="175" formatCode="General;General"/>
    <numFmt numFmtId="176" formatCode="[$-F800]dddd\,\ mmmm\ dd\,\ yyyy"/>
    <numFmt numFmtId="177" formatCode="dd&quot; de &quot;mmmm&quot; de &quot;yyyy"/>
  </numFmts>
  <fonts count="7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charset val="204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color rgb="FF000000"/>
      <name val="Calibri"/>
      <family val="2"/>
      <scheme val="minor"/>
    </font>
    <font>
      <sz val="10"/>
      <name val="Courier New"/>
      <family val="3"/>
    </font>
    <font>
      <sz val="10"/>
      <color theme="0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249977111117893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9"/>
      <color theme="0" tint="-0.249977111117893"/>
      <name val="Calibri"/>
      <family val="2"/>
    </font>
    <font>
      <sz val="10"/>
      <color theme="1"/>
      <name val="Arial"/>
      <family val="2"/>
    </font>
    <font>
      <b/>
      <sz val="10"/>
      <color theme="0" tint="-0.249977111117893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Arial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FF5050"/>
      <name val="Calibri"/>
      <family val="2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CC"/>
        <bgColor indexed="64"/>
      </patternFill>
    </fill>
    <fill>
      <patternFill patternType="solid">
        <fgColor rgb="FFFFFFFF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rgb="FFADADAD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87">
    <xf numFmtId="0" fontId="0" fillId="0" borderId="0"/>
    <xf numFmtId="0" fontId="4" fillId="0" borderId="0"/>
    <xf numFmtId="0" fontId="5" fillId="0" borderId="0"/>
    <xf numFmtId="0" fontId="4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 applyNumberFormat="0" applyBorder="0" applyAlignment="0" applyProtection="0"/>
    <xf numFmtId="0" fontId="4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9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25" borderId="24" applyNumberFormat="0" applyAlignment="0" applyProtection="0"/>
    <xf numFmtId="0" fontId="22" fillId="26" borderId="24" applyNumberFormat="0" applyAlignment="0" applyProtection="0"/>
    <xf numFmtId="0" fontId="22" fillId="26" borderId="24" applyNumberFormat="0" applyAlignment="0" applyProtection="0"/>
    <xf numFmtId="0" fontId="23" fillId="27" borderId="25" applyNumberFormat="0" applyAlignment="0" applyProtection="0"/>
    <xf numFmtId="0" fontId="23" fillId="27" borderId="25" applyNumberFormat="0" applyAlignment="0" applyProtection="0"/>
    <xf numFmtId="0" fontId="24" fillId="0" borderId="26" applyNumberFormat="0" applyFill="0" applyAlignment="0" applyProtection="0"/>
    <xf numFmtId="0" fontId="24" fillId="0" borderId="26" applyNumberFormat="0" applyFill="0" applyAlignment="0" applyProtection="0"/>
    <xf numFmtId="0" fontId="23" fillId="27" borderId="25" applyNumberFormat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25" fillId="16" borderId="24" applyNumberFormat="0" applyAlignment="0" applyProtection="0"/>
    <xf numFmtId="0" fontId="25" fillId="16" borderId="24" applyNumberFormat="0" applyAlignment="0" applyProtection="0"/>
    <xf numFmtId="0" fontId="26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7" fillId="0" borderId="27" applyNumberFormat="0" applyFill="0" applyAlignment="0" applyProtection="0"/>
    <xf numFmtId="0" fontId="28" fillId="0" borderId="28" applyNumberFormat="0" applyFill="0" applyAlignment="0" applyProtection="0"/>
    <xf numFmtId="0" fontId="29" fillId="0" borderId="29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5" fillId="10" borderId="24" applyNumberFormat="0" applyAlignment="0" applyProtection="0"/>
    <xf numFmtId="0" fontId="31" fillId="0" borderId="30" applyNumberFormat="0" applyFill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35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4" fillId="13" borderId="31" applyNumberFormat="0" applyFont="0" applyAlignment="0" applyProtection="0"/>
    <xf numFmtId="0" fontId="4" fillId="13" borderId="31" applyNumberFormat="0" applyFont="0" applyAlignment="0" applyProtection="0"/>
    <xf numFmtId="0" fontId="17" fillId="13" borderId="31" applyNumberFormat="0" applyFont="0" applyAlignment="0" applyProtection="0"/>
    <xf numFmtId="0" fontId="36" fillId="25" borderId="32" applyNumberFormat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6" fillId="26" borderId="32" applyNumberFormat="0" applyAlignment="0" applyProtection="0"/>
    <xf numFmtId="0" fontId="36" fillId="26" borderId="32" applyNumberFormat="0" applyAlignment="0" applyProtection="0"/>
    <xf numFmtId="169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6" applyNumberFormat="0" applyFill="0" applyAlignment="0" applyProtection="0"/>
    <xf numFmtId="0" fontId="42" fillId="0" borderId="36" applyNumberFormat="0" applyFill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8" fillId="0" borderId="0"/>
    <xf numFmtId="0" fontId="2" fillId="0" borderId="0"/>
    <xf numFmtId="174" fontId="4" fillId="0" borderId="0" applyFill="0" applyBorder="0" applyAlignment="0" applyProtection="0"/>
    <xf numFmtId="44" fontId="6" fillId="0" borderId="0" applyFont="0" applyFill="0" applyBorder="0" applyAlignment="0" applyProtection="0"/>
  </cellStyleXfs>
  <cellXfs count="449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49" fontId="3" fillId="0" borderId="0" xfId="0" applyNumberFormat="1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/>
    </xf>
    <xf numFmtId="49" fontId="12" fillId="0" borderId="1" xfId="0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4" fontId="12" fillId="0" borderId="1" xfId="0" applyNumberFormat="1" applyFont="1" applyFill="1" applyBorder="1" applyAlignment="1">
      <alignment horizontal="right" vertical="top"/>
    </xf>
    <xf numFmtId="4" fontId="8" fillId="0" borderId="0" xfId="0" applyNumberFormat="1" applyFont="1" applyFill="1" applyAlignment="1">
      <alignment vertical="top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2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4" fontId="14" fillId="0" borderId="2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14" fillId="0" borderId="2" xfId="0" quotePrefix="1" applyFont="1" applyBorder="1" applyAlignment="1">
      <alignment horizontal="centerContinuous" vertical="center"/>
    </xf>
    <xf numFmtId="0" fontId="14" fillId="0" borderId="4" xfId="0" applyFont="1" applyBorder="1" applyAlignment="1">
      <alignment horizontal="centerContinuous" vertical="center"/>
    </xf>
    <xf numFmtId="168" fontId="14" fillId="0" borderId="4" xfId="0" applyNumberFormat="1" applyFont="1" applyBorder="1" applyAlignment="1">
      <alignment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Continuous" vertical="center" wrapText="1"/>
    </xf>
    <xf numFmtId="0" fontId="13" fillId="0" borderId="3" xfId="0" applyFont="1" applyBorder="1" applyAlignment="1">
      <alignment horizontal="centerContinuous" vertical="center" wrapText="1"/>
    </xf>
    <xf numFmtId="0" fontId="13" fillId="0" borderId="0" xfId="0" applyFont="1" applyBorder="1" applyAlignment="1">
      <alignment vertical="center" wrapText="1"/>
    </xf>
    <xf numFmtId="14" fontId="1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center"/>
    </xf>
    <xf numFmtId="172" fontId="12" fillId="0" borderId="1" xfId="0" applyNumberFormat="1" applyFont="1" applyFill="1" applyBorder="1" applyAlignment="1">
      <alignment horizontal="right" vertical="top"/>
    </xf>
    <xf numFmtId="49" fontId="8" fillId="0" borderId="0" xfId="0" applyNumberFormat="1" applyFont="1" applyFill="1" applyAlignment="1">
      <alignment horizontal="right"/>
    </xf>
    <xf numFmtId="49" fontId="8" fillId="0" borderId="0" xfId="0" applyNumberFormat="1" applyFont="1" applyFill="1" applyAlignment="1">
      <alignment horizontal="left" vertical="top"/>
    </xf>
    <xf numFmtId="0" fontId="12" fillId="0" borderId="1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Alignment="1">
      <alignment vertical="top"/>
    </xf>
    <xf numFmtId="0" fontId="8" fillId="0" borderId="0" xfId="0" applyNumberFormat="1" applyFont="1" applyFill="1" applyAlignment="1">
      <alignment horizontal="left" vertical="top"/>
    </xf>
    <xf numFmtId="0" fontId="12" fillId="0" borderId="1" xfId="0" applyNumberFormat="1" applyFont="1" applyFill="1" applyBorder="1" applyAlignment="1">
      <alignment horizontal="center" vertical="top"/>
    </xf>
    <xf numFmtId="49" fontId="0" fillId="0" borderId="0" xfId="0" applyNumberFormat="1" applyBorder="1"/>
    <xf numFmtId="49" fontId="0" fillId="0" borderId="0" xfId="0" applyNumberFormat="1" applyFill="1" applyBorder="1" applyAlignment="1">
      <alignment horizontal="right" vertical="center"/>
    </xf>
    <xf numFmtId="0" fontId="8" fillId="0" borderId="0" xfId="0" applyFont="1" applyFill="1" applyBorder="1" applyAlignment="1">
      <alignment vertical="top"/>
    </xf>
    <xf numFmtId="4" fontId="10" fillId="0" borderId="0" xfId="0" applyNumberFormat="1" applyFont="1" applyFill="1" applyAlignment="1">
      <alignment vertical="top"/>
    </xf>
    <xf numFmtId="0" fontId="15" fillId="0" borderId="1" xfId="0" applyFont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0" fontId="45" fillId="0" borderId="0" xfId="0" applyFont="1" applyFill="1" applyAlignment="1">
      <alignment vertical="top"/>
    </xf>
    <xf numFmtId="4" fontId="45" fillId="0" borderId="0" xfId="0" applyNumberFormat="1" applyFont="1" applyFill="1" applyAlignment="1">
      <alignment horizontal="right" vertical="top"/>
    </xf>
    <xf numFmtId="0" fontId="16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2" fontId="16" fillId="0" borderId="0" xfId="0" applyNumberFormat="1" applyFont="1" applyFill="1" applyAlignment="1">
      <alignment horizontal="left" vertical="top" wrapText="1"/>
    </xf>
    <xf numFmtId="0" fontId="16" fillId="0" borderId="0" xfId="0" applyFont="1" applyFill="1" applyAlignment="1" applyProtection="1">
      <alignment horizontal="center" vertical="top"/>
    </xf>
    <xf numFmtId="14" fontId="16" fillId="0" borderId="0" xfId="0" applyNumberFormat="1" applyFont="1" applyFill="1" applyAlignment="1" applyProtection="1">
      <alignment horizontal="left" vertical="top"/>
    </xf>
    <xf numFmtId="0" fontId="44" fillId="0" borderId="0" xfId="0" applyFont="1" applyAlignment="1">
      <alignment horizontal="left" vertical="top"/>
    </xf>
    <xf numFmtId="0" fontId="44" fillId="0" borderId="0" xfId="0" applyNumberFormat="1" applyFont="1" applyAlignment="1">
      <alignment horizontal="left" vertical="top"/>
    </xf>
    <xf numFmtId="2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5" fillId="0" borderId="4" xfId="0" applyFont="1" applyBorder="1" applyAlignment="1" applyProtection="1">
      <alignment horizontal="left" vertical="top"/>
    </xf>
    <xf numFmtId="0" fontId="8" fillId="0" borderId="0" xfId="0" applyFont="1" applyAlignment="1">
      <alignment horizontal="left" vertical="top"/>
    </xf>
    <xf numFmtId="4" fontId="8" fillId="0" borderId="0" xfId="0" applyNumberFormat="1" applyFont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4" xfId="0" applyNumberFormat="1" applyFont="1" applyBorder="1" applyAlignment="1">
      <alignment horizontal="left" vertical="top"/>
    </xf>
    <xf numFmtId="165" fontId="15" fillId="0" borderId="1" xfId="0" applyNumberFormat="1" applyFont="1" applyBorder="1" applyAlignment="1" applyProtection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6" fillId="0" borderId="1" xfId="0" applyNumberFormat="1" applyFont="1" applyFill="1" applyBorder="1" applyAlignment="1">
      <alignment horizontal="left" vertical="top"/>
    </xf>
    <xf numFmtId="2" fontId="16" fillId="0" borderId="1" xfId="0" applyNumberFormat="1" applyFont="1" applyFill="1" applyBorder="1" applyAlignment="1">
      <alignment horizontal="left" vertical="top" wrapText="1"/>
    </xf>
    <xf numFmtId="0" fontId="45" fillId="0" borderId="0" xfId="0" applyFont="1" applyFill="1" applyAlignment="1">
      <alignment horizontal="left" vertical="top"/>
    </xf>
    <xf numFmtId="4" fontId="45" fillId="0" borderId="0" xfId="0" applyNumberFormat="1" applyFont="1" applyFill="1" applyAlignment="1">
      <alignment horizontal="left" vertical="top"/>
    </xf>
    <xf numFmtId="165" fontId="16" fillId="0" borderId="1" xfId="0" applyNumberFormat="1" applyFont="1" applyBorder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0" xfId="0" applyNumberFormat="1" applyFont="1" applyBorder="1" applyAlignment="1">
      <alignment horizontal="left" vertical="top"/>
    </xf>
    <xf numFmtId="2" fontId="16" fillId="0" borderId="0" xfId="0" applyNumberFormat="1" applyFont="1" applyBorder="1" applyAlignment="1">
      <alignment horizontal="left" vertical="top" wrapText="1"/>
    </xf>
    <xf numFmtId="167" fontId="16" fillId="0" borderId="0" xfId="0" applyNumberFormat="1" applyFont="1" applyBorder="1" applyAlignment="1">
      <alignment horizontal="left" vertical="top"/>
    </xf>
    <xf numFmtId="2" fontId="16" fillId="0" borderId="0" xfId="0" applyNumberFormat="1" applyFont="1" applyBorder="1" applyAlignment="1">
      <alignment horizontal="left" vertical="top"/>
    </xf>
    <xf numFmtId="0" fontId="16" fillId="0" borderId="4" xfId="0" applyFont="1" applyFill="1" applyBorder="1" applyAlignment="1" applyProtection="1">
      <alignment horizontal="left" vertical="top" wrapText="1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4" xfId="0" applyFont="1" applyFill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0" xfId="0" applyNumberFormat="1" applyFont="1" applyBorder="1" applyAlignment="1">
      <alignment horizontal="left" vertical="top"/>
    </xf>
    <xf numFmtId="2" fontId="13" fillId="0" borderId="0" xfId="0" applyNumberFormat="1" applyFont="1" applyBorder="1" applyAlignment="1">
      <alignment horizontal="left" vertical="top" wrapText="1"/>
    </xf>
    <xf numFmtId="167" fontId="13" fillId="0" borderId="0" xfId="0" applyNumberFormat="1" applyFont="1" applyBorder="1" applyAlignment="1">
      <alignment horizontal="left" vertical="top"/>
    </xf>
    <xf numFmtId="2" fontId="13" fillId="0" borderId="0" xfId="0" applyNumberFormat="1" applyFont="1" applyBorder="1" applyAlignment="1">
      <alignment horizontal="left" vertical="top"/>
    </xf>
    <xf numFmtId="0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2" fontId="8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NumberFormat="1" applyFont="1" applyAlignment="1">
      <alignment horizontal="left" vertical="top" wrapText="1"/>
    </xf>
    <xf numFmtId="0" fontId="16" fillId="0" borderId="0" xfId="0" applyFont="1" applyFill="1" applyAlignment="1" applyProtection="1">
      <alignment horizontal="left" vertical="top"/>
    </xf>
    <xf numFmtId="4" fontId="44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top"/>
    </xf>
    <xf numFmtId="1" fontId="45" fillId="0" borderId="0" xfId="0" applyNumberFormat="1" applyFont="1" applyFill="1" applyAlignment="1">
      <alignment vertical="top"/>
    </xf>
    <xf numFmtId="4" fontId="45" fillId="0" borderId="0" xfId="0" applyNumberFormat="1" applyFont="1" applyFill="1" applyAlignment="1">
      <alignment vertical="top"/>
    </xf>
    <xf numFmtId="1" fontId="45" fillId="0" borderId="0" xfId="0" applyNumberFormat="1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49" fontId="16" fillId="0" borderId="0" xfId="0" applyNumberFormat="1" applyFont="1" applyBorder="1" applyAlignment="1">
      <alignment horizontal="left" vertical="top"/>
    </xf>
    <xf numFmtId="49" fontId="15" fillId="0" borderId="2" xfId="0" applyNumberFormat="1" applyFont="1" applyBorder="1" applyAlignment="1">
      <alignment horizontal="left" vertical="top"/>
    </xf>
    <xf numFmtId="49" fontId="16" fillId="0" borderId="20" xfId="0" applyNumberFormat="1" applyFont="1" applyFill="1" applyBorder="1" applyAlignment="1">
      <alignment horizontal="left" vertical="top"/>
    </xf>
    <xf numFmtId="49" fontId="16" fillId="0" borderId="19" xfId="0" applyNumberFormat="1" applyFont="1" applyBorder="1" applyAlignment="1">
      <alignment horizontal="left" vertical="top"/>
    </xf>
    <xf numFmtId="49" fontId="13" fillId="0" borderId="0" xfId="0" applyNumberFormat="1" applyFont="1" applyBorder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49" fontId="44" fillId="0" borderId="0" xfId="0" applyNumberFormat="1" applyFont="1" applyAlignment="1">
      <alignment horizontal="left" vertical="top"/>
    </xf>
    <xf numFmtId="0" fontId="7" fillId="3" borderId="10" xfId="0" applyFont="1" applyFill="1" applyBorder="1"/>
    <xf numFmtId="0" fontId="7" fillId="3" borderId="10" xfId="0" applyFont="1" applyFill="1" applyBorder="1" applyAlignment="1">
      <alignment vertical="center"/>
    </xf>
    <xf numFmtId="0" fontId="7" fillId="3" borderId="18" xfId="0" applyFont="1" applyFill="1" applyBorder="1"/>
    <xf numFmtId="0" fontId="7" fillId="3" borderId="18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7" fillId="3" borderId="17" xfId="0" applyFont="1" applyFill="1" applyBorder="1"/>
    <xf numFmtId="4" fontId="9" fillId="3" borderId="9" xfId="0" applyNumberFormat="1" applyFont="1" applyFill="1" applyBorder="1" applyAlignment="1">
      <alignment horizontal="left" vertical="top"/>
    </xf>
    <xf numFmtId="4" fontId="9" fillId="3" borderId="11" xfId="0" applyNumberFormat="1" applyFont="1" applyFill="1" applyBorder="1" applyAlignment="1">
      <alignment horizontal="left" vertical="top"/>
    </xf>
    <xf numFmtId="4" fontId="10" fillId="3" borderId="43" xfId="0" applyNumberFormat="1" applyFont="1" applyFill="1" applyBorder="1" applyAlignment="1">
      <alignment vertical="top"/>
    </xf>
    <xf numFmtId="4" fontId="10" fillId="3" borderId="4" xfId="0" applyNumberFormat="1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4" fontId="46" fillId="2" borderId="1" xfId="0" applyNumberFormat="1" applyFont="1" applyFill="1" applyBorder="1" applyAlignment="1">
      <alignment horizontal="left" vertical="top"/>
    </xf>
    <xf numFmtId="4" fontId="46" fillId="2" borderId="1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49" fontId="46" fillId="2" borderId="1" xfId="0" applyNumberFormat="1" applyFont="1" applyFill="1" applyBorder="1" applyAlignment="1">
      <alignment horizontal="left" vertical="top"/>
    </xf>
    <xf numFmtId="0" fontId="9" fillId="3" borderId="13" xfId="0" applyFont="1" applyFill="1" applyBorder="1" applyAlignment="1">
      <alignment vertical="top"/>
    </xf>
    <xf numFmtId="4" fontId="10" fillId="0" borderId="0" xfId="0" applyNumberFormat="1" applyFont="1" applyFill="1" applyBorder="1" applyAlignment="1">
      <alignment horizontal="right" vertical="top"/>
    </xf>
    <xf numFmtId="0" fontId="0" fillId="0" borderId="23" xfId="0" applyFill="1" applyBorder="1" applyAlignment="1">
      <alignment vertical="center"/>
    </xf>
    <xf numFmtId="9" fontId="0" fillId="0" borderId="50" xfId="0" applyNumberFormat="1" applyBorder="1"/>
    <xf numFmtId="0" fontId="7" fillId="3" borderId="7" xfId="0" applyFont="1" applyFill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0" fillId="0" borderId="15" xfId="0" applyNumberFormat="1" applyFont="1" applyFill="1" applyBorder="1" applyAlignment="1">
      <alignment horizontal="left" vertical="top" wrapText="1"/>
    </xf>
    <xf numFmtId="49" fontId="10" fillId="0" borderId="15" xfId="0" applyNumberFormat="1" applyFont="1" applyFill="1" applyBorder="1" applyAlignment="1">
      <alignment horizontal="left" vertical="top" wrapText="1"/>
    </xf>
    <xf numFmtId="0" fontId="10" fillId="0" borderId="15" xfId="0" applyNumberFormat="1" applyFont="1" applyFill="1" applyBorder="1" applyAlignment="1">
      <alignment horizontal="center" vertical="top"/>
    </xf>
    <xf numFmtId="172" fontId="10" fillId="0" borderId="15" xfId="0" applyNumberFormat="1" applyFont="1" applyFill="1" applyBorder="1" applyAlignment="1">
      <alignment horizontal="right" vertical="top"/>
    </xf>
    <xf numFmtId="0" fontId="46" fillId="2" borderId="20" xfId="0" applyNumberFormat="1" applyFont="1" applyFill="1" applyBorder="1" applyAlignment="1">
      <alignment horizontal="left" vertical="top" wrapText="1"/>
    </xf>
    <xf numFmtId="49" fontId="46" fillId="2" borderId="20" xfId="0" applyNumberFormat="1" applyFont="1" applyFill="1" applyBorder="1" applyAlignment="1">
      <alignment horizontal="left" vertical="top" wrapText="1"/>
    </xf>
    <xf numFmtId="49" fontId="46" fillId="2" borderId="20" xfId="0" applyNumberFormat="1" applyFont="1" applyFill="1" applyBorder="1" applyAlignment="1">
      <alignment horizontal="left" vertical="top"/>
    </xf>
    <xf numFmtId="0" fontId="46" fillId="2" borderId="20" xfId="0" applyNumberFormat="1" applyFont="1" applyFill="1" applyBorder="1" applyAlignment="1">
      <alignment horizontal="center" vertical="top"/>
    </xf>
    <xf numFmtId="4" fontId="46" fillId="2" borderId="20" xfId="0" applyNumberFormat="1" applyFont="1" applyFill="1" applyBorder="1" applyAlignment="1">
      <alignment horizontal="left" vertical="top" wrapText="1"/>
    </xf>
    <xf numFmtId="0" fontId="47" fillId="0" borderId="0" xfId="10" applyFont="1" applyBorder="1" applyAlignment="1">
      <alignment vertical="center"/>
    </xf>
    <xf numFmtId="0" fontId="49" fillId="3" borderId="10" xfId="0" applyFont="1" applyFill="1" applyBorder="1" applyAlignment="1">
      <alignment horizontal="center" vertical="top"/>
    </xf>
    <xf numFmtId="0" fontId="49" fillId="3" borderId="11" xfId="0" applyFont="1" applyFill="1" applyBorder="1" applyAlignment="1">
      <alignment horizontal="center" vertical="top"/>
    </xf>
    <xf numFmtId="4" fontId="50" fillId="0" borderId="11" xfId="0" applyNumberFormat="1" applyFont="1" applyFill="1" applyBorder="1" applyAlignment="1">
      <alignment horizontal="right" vertical="top"/>
    </xf>
    <xf numFmtId="49" fontId="51" fillId="0" borderId="0" xfId="0" applyNumberFormat="1" applyFont="1" applyFill="1" applyAlignment="1">
      <alignment horizontal="left" vertical="top"/>
    </xf>
    <xf numFmtId="0" fontId="50" fillId="0" borderId="0" xfId="0" applyFont="1" applyFill="1" applyAlignment="1">
      <alignment vertical="top"/>
    </xf>
    <xf numFmtId="4" fontId="50" fillId="0" borderId="0" xfId="0" applyNumberFormat="1" applyFont="1" applyFill="1" applyAlignment="1">
      <alignment vertical="top"/>
    </xf>
    <xf numFmtId="0" fontId="50" fillId="0" borderId="0" xfId="0" applyFont="1" applyFill="1" applyAlignment="1">
      <alignment horizontal="left" vertical="top"/>
    </xf>
    <xf numFmtId="10" fontId="50" fillId="0" borderId="8" xfId="4" applyNumberFormat="1" applyFont="1" applyFill="1" applyBorder="1" applyAlignment="1">
      <alignment vertical="top"/>
    </xf>
    <xf numFmtId="4" fontId="50" fillId="0" borderId="8" xfId="0" applyNumberFormat="1" applyFont="1" applyFill="1" applyBorder="1" applyAlignment="1">
      <alignment vertical="top"/>
    </xf>
    <xf numFmtId="10" fontId="50" fillId="0" borderId="12" xfId="4" applyNumberFormat="1" applyFont="1" applyFill="1" applyBorder="1" applyAlignment="1">
      <alignment vertical="top"/>
    </xf>
    <xf numFmtId="4" fontId="50" fillId="0" borderId="12" xfId="0" applyNumberFormat="1" applyFont="1" applyFill="1" applyBorder="1" applyAlignment="1">
      <alignment vertical="top"/>
    </xf>
    <xf numFmtId="0" fontId="52" fillId="0" borderId="0" xfId="0" applyFont="1" applyFill="1" applyAlignment="1">
      <alignment vertical="top"/>
    </xf>
    <xf numFmtId="0" fontId="53" fillId="0" borderId="0" xfId="0" applyFont="1" applyFill="1" applyAlignment="1">
      <alignment horizontal="left" vertical="top"/>
    </xf>
    <xf numFmtId="0" fontId="53" fillId="0" borderId="0" xfId="0" applyFont="1" applyFill="1" applyAlignment="1">
      <alignment vertical="top"/>
    </xf>
    <xf numFmtId="0" fontId="7" fillId="30" borderId="10" xfId="0" applyFont="1" applyFill="1" applyBorder="1"/>
    <xf numFmtId="49" fontId="0" fillId="30" borderId="11" xfId="0" applyNumberFormat="1" applyFill="1" applyBorder="1"/>
    <xf numFmtId="49" fontId="0" fillId="30" borderId="49" xfId="0" applyNumberFormat="1" applyFill="1" applyBorder="1"/>
    <xf numFmtId="49" fontId="0" fillId="30" borderId="37" xfId="0" applyNumberFormat="1" applyFill="1" applyBorder="1"/>
    <xf numFmtId="49" fontId="0" fillId="30" borderId="13" xfId="0" applyNumberFormat="1" applyFill="1" applyBorder="1"/>
    <xf numFmtId="0" fontId="0" fillId="30" borderId="1" xfId="0" applyFill="1" applyBorder="1" applyAlignment="1">
      <alignment horizontal="center" vertical="center"/>
    </xf>
    <xf numFmtId="49" fontId="0" fillId="30" borderId="1" xfId="0" applyNumberFormat="1" applyFill="1" applyBorder="1" applyAlignment="1">
      <alignment horizontal="right" vertical="center"/>
    </xf>
    <xf numFmtId="49" fontId="0" fillId="30" borderId="1" xfId="0" applyNumberFormat="1" applyFill="1" applyBorder="1"/>
    <xf numFmtId="0" fontId="0" fillId="30" borderId="11" xfId="0" applyFill="1" applyBorder="1"/>
    <xf numFmtId="0" fontId="0" fillId="30" borderId="1" xfId="0" applyFill="1" applyBorder="1" applyAlignment="1">
      <alignment horizontal="center"/>
    </xf>
    <xf numFmtId="0" fontId="0" fillId="30" borderId="1" xfId="0" applyFill="1" applyBorder="1"/>
    <xf numFmtId="0" fontId="0" fillId="30" borderId="12" xfId="0" applyFill="1" applyBorder="1" applyAlignment="1">
      <alignment horizontal="center"/>
    </xf>
    <xf numFmtId="0" fontId="0" fillId="30" borderId="12" xfId="0" applyFill="1" applyBorder="1"/>
    <xf numFmtId="0" fontId="0" fillId="30" borderId="13" xfId="0" applyFill="1" applyBorder="1"/>
    <xf numFmtId="49" fontId="10" fillId="30" borderId="15" xfId="0" applyNumberFormat="1" applyFont="1" applyFill="1" applyBorder="1" applyAlignment="1">
      <alignment horizontal="left" vertical="top" wrapText="1"/>
    </xf>
    <xf numFmtId="2" fontId="15" fillId="30" borderId="0" xfId="0" applyNumberFormat="1" applyFont="1" applyFill="1" applyAlignment="1" applyProtection="1">
      <alignment horizontal="left" vertical="top" wrapText="1"/>
      <protection locked="0"/>
    </xf>
    <xf numFmtId="0" fontId="15" fillId="30" borderId="15" xfId="0" applyFont="1" applyFill="1" applyBorder="1" applyAlignment="1" applyProtection="1">
      <alignment horizontal="center" vertical="top"/>
      <protection locked="0"/>
    </xf>
    <xf numFmtId="17" fontId="15" fillId="30" borderId="1" xfId="0" applyNumberFormat="1" applyFont="1" applyFill="1" applyBorder="1" applyAlignment="1" applyProtection="1">
      <alignment horizontal="left" vertical="top"/>
      <protection locked="0"/>
    </xf>
    <xf numFmtId="165" fontId="15" fillId="0" borderId="1" xfId="0" applyNumberFormat="1" applyFont="1" applyFill="1" applyBorder="1" applyAlignment="1" applyProtection="1">
      <alignment horizontal="left" vertical="top"/>
      <protection locked="0"/>
    </xf>
    <xf numFmtId="165" fontId="16" fillId="0" borderId="1" xfId="0" applyNumberFormat="1" applyFont="1" applyFill="1" applyBorder="1" applyAlignment="1" applyProtection="1">
      <alignment horizontal="left" vertical="top" wrapText="1"/>
      <protection locked="0"/>
    </xf>
    <xf numFmtId="166" fontId="16" fillId="30" borderId="21" xfId="0" applyNumberFormat="1" applyFont="1" applyFill="1" applyBorder="1" applyAlignment="1" applyProtection="1">
      <alignment horizontal="left" vertical="top" wrapText="1"/>
      <protection locked="0"/>
    </xf>
    <xf numFmtId="0" fontId="16" fillId="0" borderId="1" xfId="0" applyFont="1" applyFill="1" applyBorder="1" applyAlignment="1" applyProtection="1">
      <alignment horizontal="center" vertical="top" wrapText="1"/>
      <protection locked="0"/>
    </xf>
    <xf numFmtId="2" fontId="16" fillId="0" borderId="1" xfId="0" applyNumberFormat="1" applyFont="1" applyFill="1" applyBorder="1" applyAlignment="1" applyProtection="1">
      <alignment horizontal="left" vertical="top" wrapText="1"/>
      <protection locked="0"/>
    </xf>
    <xf numFmtId="0" fontId="16" fillId="30" borderId="21" xfId="0" applyFont="1" applyFill="1" applyBorder="1" applyAlignment="1" applyProtection="1">
      <alignment horizontal="left" vertical="top" wrapText="1"/>
      <protection locked="0"/>
    </xf>
    <xf numFmtId="0" fontId="16" fillId="30" borderId="21" xfId="0" applyNumberFormat="1" applyFont="1" applyFill="1" applyBorder="1" applyAlignment="1" applyProtection="1">
      <alignment horizontal="left" vertical="top" wrapText="1"/>
      <protection locked="0"/>
    </xf>
    <xf numFmtId="0" fontId="16" fillId="30" borderId="22" xfId="0" applyNumberFormat="1" applyFont="1" applyFill="1" applyBorder="1" applyAlignment="1" applyProtection="1">
      <alignment horizontal="left" vertical="top" wrapText="1"/>
      <protection locked="0"/>
    </xf>
    <xf numFmtId="0" fontId="14" fillId="30" borderId="0" xfId="0" applyFont="1" applyFill="1" applyAlignment="1" applyProtection="1">
      <alignment vertical="center" wrapText="1"/>
      <protection locked="0"/>
    </xf>
    <xf numFmtId="0" fontId="14" fillId="30" borderId="15" xfId="0" applyFont="1" applyFill="1" applyBorder="1" applyAlignment="1" applyProtection="1">
      <alignment horizontal="center" vertical="center"/>
      <protection locked="0"/>
    </xf>
    <xf numFmtId="17" fontId="14" fillId="30" borderId="1" xfId="0" applyNumberFormat="1" applyFont="1" applyFill="1" applyBorder="1" applyAlignment="1" applyProtection="1">
      <alignment horizontal="center" vertical="center"/>
      <protection locked="0"/>
    </xf>
    <xf numFmtId="0" fontId="13" fillId="30" borderId="21" xfId="0" applyFont="1" applyFill="1" applyBorder="1" applyAlignment="1" applyProtection="1">
      <alignment horizontal="left" vertical="center" wrapText="1"/>
      <protection locked="0"/>
    </xf>
    <xf numFmtId="0" fontId="13" fillId="30" borderId="21" xfId="0" applyFont="1" applyFill="1" applyBorder="1" applyAlignment="1" applyProtection="1">
      <alignment vertical="center" wrapText="1"/>
      <protection locked="0"/>
    </xf>
    <xf numFmtId="0" fontId="13" fillId="30" borderId="21" xfId="0" applyFont="1" applyFill="1" applyBorder="1" applyAlignment="1" applyProtection="1">
      <alignment horizontal="center" vertical="center" wrapText="1"/>
      <protection locked="0"/>
    </xf>
    <xf numFmtId="166" fontId="13" fillId="30" borderId="21" xfId="0" applyNumberFormat="1" applyFont="1" applyFill="1" applyBorder="1" applyAlignment="1" applyProtection="1">
      <alignment vertical="center" wrapText="1"/>
      <protection locked="0"/>
    </xf>
    <xf numFmtId="14" fontId="13" fillId="30" borderId="21" xfId="0" applyNumberFormat="1" applyFont="1" applyFill="1" applyBorder="1" applyAlignment="1" applyProtection="1">
      <alignment vertical="center" wrapText="1"/>
      <protection locked="0"/>
    </xf>
    <xf numFmtId="165" fontId="13" fillId="30" borderId="21" xfId="0" applyNumberFormat="1" applyFont="1" applyFill="1" applyBorder="1" applyAlignment="1" applyProtection="1">
      <alignment vertical="center"/>
      <protection locked="0"/>
    </xf>
    <xf numFmtId="0" fontId="13" fillId="30" borderId="22" xfId="0" applyFont="1" applyFill="1" applyBorder="1" applyAlignment="1" applyProtection="1">
      <alignment horizontal="left" vertical="center" wrapText="1"/>
      <protection locked="0"/>
    </xf>
    <xf numFmtId="0" fontId="13" fillId="30" borderId="22" xfId="0" applyFont="1" applyFill="1" applyBorder="1" applyAlignment="1" applyProtection="1">
      <alignment vertical="center" wrapText="1"/>
      <protection locked="0"/>
    </xf>
    <xf numFmtId="0" fontId="13" fillId="30" borderId="22" xfId="0" applyFont="1" applyFill="1" applyBorder="1" applyAlignment="1" applyProtection="1">
      <alignment horizontal="center" vertical="center" wrapText="1"/>
      <protection locked="0"/>
    </xf>
    <xf numFmtId="166" fontId="13" fillId="30" borderId="22" xfId="0" applyNumberFormat="1" applyFont="1" applyFill="1" applyBorder="1" applyAlignment="1" applyProtection="1">
      <alignment vertical="center" wrapText="1"/>
      <protection locked="0"/>
    </xf>
    <xf numFmtId="165" fontId="13" fillId="30" borderId="22" xfId="0" applyNumberFormat="1" applyFont="1" applyFill="1" applyBorder="1" applyAlignment="1" applyProtection="1">
      <alignment vertical="center"/>
      <protection locked="0"/>
    </xf>
    <xf numFmtId="10" fontId="50" fillId="30" borderId="10" xfId="4" applyNumberFormat="1" applyFont="1" applyFill="1" applyBorder="1" applyAlignment="1">
      <alignment vertical="top"/>
    </xf>
    <xf numFmtId="173" fontId="0" fillId="0" borderId="0" xfId="0" applyNumberFormat="1"/>
    <xf numFmtId="49" fontId="57" fillId="30" borderId="13" xfId="182" applyNumberFormat="1" applyFont="1" applyFill="1" applyBorder="1" applyAlignment="1" applyProtection="1"/>
    <xf numFmtId="49" fontId="0" fillId="30" borderId="9" xfId="0" applyNumberFormat="1" applyFill="1" applyBorder="1"/>
    <xf numFmtId="0" fontId="50" fillId="0" borderId="0" xfId="0" applyFont="1" applyFill="1" applyBorder="1" applyAlignment="1">
      <alignment vertical="top"/>
    </xf>
    <xf numFmtId="10" fontId="50" fillId="0" borderId="0" xfId="4" applyNumberFormat="1" applyFont="1" applyFill="1" applyBorder="1" applyAlignment="1">
      <alignment vertical="top"/>
    </xf>
    <xf numFmtId="4" fontId="50" fillId="0" borderId="0" xfId="0" applyNumberFormat="1" applyFont="1" applyFill="1" applyBorder="1" applyAlignment="1">
      <alignment vertical="top"/>
    </xf>
    <xf numFmtId="49" fontId="43" fillId="0" borderId="0" xfId="0" applyNumberFormat="1" applyFont="1" applyFill="1" applyAlignment="1">
      <alignment horizontal="center" vertical="top"/>
    </xf>
    <xf numFmtId="0" fontId="16" fillId="0" borderId="4" xfId="0" applyFont="1" applyFill="1" applyBorder="1" applyAlignment="1" applyProtection="1">
      <alignment horizontal="left" vertical="top" wrapText="1"/>
    </xf>
    <xf numFmtId="0" fontId="15" fillId="0" borderId="4" xfId="0" applyFont="1" applyBorder="1" applyAlignment="1" applyProtection="1">
      <alignment horizontal="left" vertical="top"/>
    </xf>
    <xf numFmtId="49" fontId="15" fillId="0" borderId="2" xfId="0" applyNumberFormat="1" applyFont="1" applyFill="1" applyBorder="1" applyAlignment="1" applyProtection="1">
      <alignment horizontal="left" vertical="center" wrapText="1"/>
    </xf>
    <xf numFmtId="0" fontId="58" fillId="0" borderId="0" xfId="183"/>
    <xf numFmtId="0" fontId="10" fillId="0" borderId="0" xfId="183" applyFont="1"/>
    <xf numFmtId="0" fontId="12" fillId="0" borderId="0" xfId="0" applyNumberFormat="1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center" vertical="top"/>
    </xf>
    <xf numFmtId="172" fontId="12" fillId="0" borderId="0" xfId="0" applyNumberFormat="1" applyFont="1" applyFill="1" applyBorder="1" applyAlignment="1">
      <alignment horizontal="right" vertical="top"/>
    </xf>
    <xf numFmtId="4" fontId="12" fillId="0" borderId="0" xfId="0" applyNumberFormat="1" applyFont="1" applyFill="1" applyBorder="1" applyAlignment="1">
      <alignment horizontal="right" vertical="top"/>
    </xf>
    <xf numFmtId="49" fontId="43" fillId="0" borderId="0" xfId="0" applyNumberFormat="1" applyFont="1" applyFill="1" applyAlignment="1">
      <alignment vertical="top"/>
    </xf>
    <xf numFmtId="0" fontId="46" fillId="31" borderId="0" xfId="183" applyFont="1" applyFill="1" applyAlignment="1">
      <alignment wrapText="1"/>
    </xf>
    <xf numFmtId="0" fontId="0" fillId="4" borderId="0" xfId="0" applyFill="1"/>
    <xf numFmtId="0" fontId="4" fillId="0" borderId="0" xfId="119"/>
    <xf numFmtId="1" fontId="61" fillId="0" borderId="55" xfId="184" applyNumberFormat="1" applyFont="1" applyBorder="1" applyAlignment="1">
      <alignment vertical="top"/>
    </xf>
    <xf numFmtId="1" fontId="61" fillId="0" borderId="56" xfId="184" applyNumberFormat="1" applyFont="1" applyBorder="1" applyAlignment="1">
      <alignment vertical="top"/>
    </xf>
    <xf numFmtId="0" fontId="61" fillId="0" borderId="56" xfId="184" applyFont="1" applyBorder="1" applyAlignment="1">
      <alignment vertical="top"/>
    </xf>
    <xf numFmtId="0" fontId="61" fillId="0" borderId="57" xfId="184" applyFont="1" applyBorder="1" applyAlignment="1">
      <alignment horizontal="right" vertical="top"/>
    </xf>
    <xf numFmtId="1" fontId="61" fillId="0" borderId="58" xfId="184" applyNumberFormat="1" applyFont="1" applyBorder="1" applyAlignment="1">
      <alignment vertical="top"/>
    </xf>
    <xf numFmtId="1" fontId="61" fillId="0" borderId="0" xfId="184" applyNumberFormat="1" applyFont="1" applyAlignment="1">
      <alignment vertical="top"/>
    </xf>
    <xf numFmtId="49" fontId="4" fillId="0" borderId="0" xfId="119" applyNumberFormat="1" applyAlignment="1">
      <alignment vertical="top" wrapText="1"/>
    </xf>
    <xf numFmtId="0" fontId="4" fillId="0" borderId="0" xfId="119" applyAlignment="1">
      <alignment vertical="top" wrapText="1"/>
    </xf>
    <xf numFmtId="0" fontId="4" fillId="0" borderId="59" xfId="119" applyBorder="1" applyAlignment="1">
      <alignment vertical="top" wrapText="1"/>
    </xf>
    <xf numFmtId="1" fontId="61" fillId="0" borderId="60" xfId="184" applyNumberFormat="1" applyFont="1" applyBorder="1" applyAlignment="1">
      <alignment vertical="top"/>
    </xf>
    <xf numFmtId="1" fontId="61" fillId="0" borderId="61" xfId="184" applyNumberFormat="1" applyFont="1" applyBorder="1" applyAlignment="1">
      <alignment vertical="top"/>
    </xf>
    <xf numFmtId="0" fontId="61" fillId="0" borderId="61" xfId="119" applyFont="1" applyBorder="1"/>
    <xf numFmtId="49" fontId="60" fillId="0" borderId="62" xfId="119" applyNumberFormat="1" applyFont="1" applyBorder="1" applyAlignment="1">
      <alignment horizontal="right"/>
    </xf>
    <xf numFmtId="0" fontId="61" fillId="0" borderId="0" xfId="184" applyFont="1" applyAlignment="1">
      <alignment vertical="top"/>
    </xf>
    <xf numFmtId="0" fontId="2" fillId="0" borderId="0" xfId="119" applyFont="1" applyAlignment="1">
      <alignment horizontal="left"/>
    </xf>
    <xf numFmtId="0" fontId="0" fillId="34" borderId="0" xfId="0" applyFill="1"/>
    <xf numFmtId="0" fontId="0" fillId="34" borderId="66" xfId="0" applyFill="1" applyBorder="1" applyAlignment="1">
      <alignment horizontal="left"/>
    </xf>
    <xf numFmtId="0" fontId="0" fillId="34" borderId="66" xfId="0" applyFill="1" applyBorder="1" applyAlignment="1">
      <alignment horizontal="center" wrapText="1"/>
    </xf>
    <xf numFmtId="0" fontId="61" fillId="0" borderId="63" xfId="119" applyFont="1" applyBorder="1" applyAlignment="1">
      <alignment horizontal="center" vertical="center"/>
    </xf>
    <xf numFmtId="0" fontId="63" fillId="0" borderId="63" xfId="119" applyFont="1" applyBorder="1" applyAlignment="1">
      <alignment horizontal="center" vertical="center"/>
    </xf>
    <xf numFmtId="10" fontId="63" fillId="32" borderId="63" xfId="119" applyNumberFormat="1" applyFont="1" applyFill="1" applyBorder="1" applyAlignment="1" applyProtection="1">
      <alignment horizontal="center" vertical="center"/>
      <protection locked="0"/>
    </xf>
    <xf numFmtId="10" fontId="63" fillId="0" borderId="63" xfId="119" applyNumberFormat="1" applyFont="1" applyBorder="1" applyAlignment="1">
      <alignment horizontal="center" vertical="center"/>
    </xf>
    <xf numFmtId="10" fontId="63" fillId="0" borderId="63" xfId="119" applyNumberFormat="1" applyFont="1" applyBorder="1" applyAlignment="1">
      <alignment horizontal="center" vertical="center" wrapText="1"/>
    </xf>
    <xf numFmtId="0" fontId="63" fillId="35" borderId="63" xfId="119" applyFont="1" applyFill="1" applyBorder="1" applyAlignment="1">
      <alignment horizontal="center" vertical="center" wrapText="1"/>
    </xf>
    <xf numFmtId="0" fontId="64" fillId="0" borderId="0" xfId="119" applyFont="1" applyAlignment="1">
      <alignment horizontal="right" vertical="center"/>
    </xf>
    <xf numFmtId="0" fontId="4" fillId="0" borderId="0" xfId="119" applyAlignment="1">
      <alignment horizontal="center" vertical="top"/>
    </xf>
    <xf numFmtId="0" fontId="68" fillId="0" borderId="0" xfId="119" applyFont="1" applyAlignment="1">
      <alignment horizontal="center" vertical="top"/>
    </xf>
    <xf numFmtId="177" fontId="4" fillId="0" borderId="0" xfId="119" applyNumberFormat="1"/>
    <xf numFmtId="0" fontId="61" fillId="0" borderId="70" xfId="119" applyFont="1" applyBorder="1" applyAlignment="1">
      <alignment horizontal="left"/>
    </xf>
    <xf numFmtId="0" fontId="4" fillId="0" borderId="70" xfId="119" applyBorder="1"/>
    <xf numFmtId="0" fontId="63" fillId="0" borderId="0" xfId="119" applyFont="1"/>
    <xf numFmtId="0" fontId="4" fillId="0" borderId="0" xfId="184" applyFont="1" applyAlignment="1">
      <alignment horizontal="left" vertical="top"/>
    </xf>
    <xf numFmtId="0" fontId="4" fillId="0" borderId="0" xfId="119" applyAlignment="1">
      <alignment vertical="top"/>
    </xf>
    <xf numFmtId="175" fontId="4" fillId="0" borderId="0" xfId="119" applyNumberFormat="1"/>
    <xf numFmtId="0" fontId="4" fillId="0" borderId="0" xfId="119" applyAlignment="1">
      <alignment horizontal="right"/>
    </xf>
    <xf numFmtId="49" fontId="4" fillId="0" borderId="0" xfId="119" applyNumberFormat="1" applyAlignment="1">
      <alignment vertical="top"/>
    </xf>
    <xf numFmtId="0" fontId="61" fillId="0" borderId="0" xfId="184" applyFont="1" applyAlignment="1">
      <alignment horizontal="left" vertical="top"/>
    </xf>
    <xf numFmtId="10" fontId="62" fillId="35" borderId="63" xfId="4" applyNumberFormat="1" applyFont="1" applyFill="1" applyBorder="1" applyAlignment="1">
      <alignment horizontal="center" vertical="center" wrapText="1"/>
    </xf>
    <xf numFmtId="0" fontId="63" fillId="35" borderId="63" xfId="119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top"/>
    </xf>
    <xf numFmtId="0" fontId="70" fillId="31" borderId="1" xfId="0" applyFont="1" applyFill="1" applyBorder="1" applyAlignment="1">
      <alignment horizontal="left" vertical="top" wrapText="1"/>
    </xf>
    <xf numFmtId="0" fontId="70" fillId="31" borderId="1" xfId="0" applyFont="1" applyFill="1" applyBorder="1" applyAlignment="1">
      <alignment horizontal="center" vertical="top" wrapText="1"/>
    </xf>
    <xf numFmtId="0" fontId="70" fillId="31" borderId="1" xfId="0" applyFont="1" applyFill="1" applyBorder="1" applyAlignment="1">
      <alignment horizontal="right" vertical="top" wrapText="1"/>
    </xf>
    <xf numFmtId="0" fontId="51" fillId="0" borderId="1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44" fontId="10" fillId="0" borderId="15" xfId="186" applyFont="1" applyFill="1" applyBorder="1" applyAlignment="1">
      <alignment horizontal="right" vertical="top"/>
    </xf>
    <xf numFmtId="0" fontId="10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 wrapText="1"/>
    </xf>
    <xf numFmtId="49" fontId="10" fillId="4" borderId="0" xfId="0" applyNumberFormat="1" applyFont="1" applyFill="1" applyBorder="1" applyAlignment="1">
      <alignment horizontal="left" vertical="top"/>
    </xf>
    <xf numFmtId="49" fontId="10" fillId="4" borderId="0" xfId="0" applyNumberFormat="1" applyFont="1" applyFill="1" applyAlignment="1">
      <alignment horizontal="left" vertical="top"/>
    </xf>
    <xf numFmtId="0" fontId="8" fillId="4" borderId="0" xfId="0" applyFont="1" applyFill="1" applyAlignment="1">
      <alignment vertical="top"/>
    </xf>
    <xf numFmtId="49" fontId="8" fillId="4" borderId="0" xfId="0" applyNumberFormat="1" applyFont="1" applyFill="1" applyAlignment="1">
      <alignment horizontal="right"/>
    </xf>
    <xf numFmtId="0" fontId="8" fillId="4" borderId="0" xfId="0" applyNumberFormat="1" applyFont="1" applyFill="1" applyAlignment="1">
      <alignment vertical="top"/>
    </xf>
    <xf numFmtId="4" fontId="8" fillId="4" borderId="0" xfId="0" applyNumberFormat="1" applyFont="1" applyFill="1" applyAlignment="1">
      <alignment vertical="top"/>
    </xf>
    <xf numFmtId="0" fontId="10" fillId="4" borderId="0" xfId="0" applyFont="1" applyFill="1" applyAlignment="1">
      <alignment horizontal="left" vertical="top"/>
    </xf>
    <xf numFmtId="4" fontId="10" fillId="4" borderId="0" xfId="0" applyNumberFormat="1" applyFont="1" applyFill="1" applyAlignment="1">
      <alignment vertical="top"/>
    </xf>
    <xf numFmtId="49" fontId="12" fillId="4" borderId="0" xfId="0" applyNumberFormat="1" applyFont="1" applyFill="1" applyAlignment="1">
      <alignment vertical="top"/>
    </xf>
    <xf numFmtId="49" fontId="12" fillId="4" borderId="0" xfId="0" applyNumberFormat="1" applyFont="1" applyFill="1" applyAlignment="1">
      <alignment horizontal="right"/>
    </xf>
    <xf numFmtId="0" fontId="12" fillId="4" borderId="0" xfId="0" applyNumberFormat="1" applyFont="1" applyFill="1" applyAlignment="1">
      <alignment vertical="top"/>
    </xf>
    <xf numFmtId="0" fontId="10" fillId="4" borderId="0" xfId="0" applyNumberFormat="1" applyFont="1" applyFill="1" applyBorder="1" applyAlignment="1">
      <alignment horizontal="left" vertical="top"/>
    </xf>
    <xf numFmtId="44" fontId="46" fillId="2" borderId="1" xfId="186" applyFont="1" applyFill="1" applyBorder="1" applyAlignment="1">
      <alignment horizontal="left" vertical="top"/>
    </xf>
    <xf numFmtId="44" fontId="46" fillId="2" borderId="1" xfId="186" applyFont="1" applyFill="1" applyBorder="1" applyAlignment="1">
      <alignment horizontal="right" vertical="top"/>
    </xf>
    <xf numFmtId="10" fontId="71" fillId="4" borderId="10" xfId="4" applyNumberFormat="1" applyFont="1" applyFill="1" applyBorder="1" applyAlignment="1">
      <alignment vertical="top"/>
    </xf>
    <xf numFmtId="10" fontId="71" fillId="4" borderId="1" xfId="4" applyNumberFormat="1" applyFont="1" applyFill="1" applyBorder="1" applyAlignment="1">
      <alignment vertical="top"/>
    </xf>
    <xf numFmtId="10" fontId="71" fillId="4" borderId="11" xfId="4" applyNumberFormat="1" applyFont="1" applyFill="1" applyBorder="1" applyAlignment="1">
      <alignment vertical="top"/>
    </xf>
    <xf numFmtId="49" fontId="72" fillId="2" borderId="1" xfId="0" applyNumberFormat="1" applyFont="1" applyFill="1" applyBorder="1" applyAlignment="1">
      <alignment horizontal="left" vertical="top"/>
    </xf>
    <xf numFmtId="0" fontId="4" fillId="4" borderId="0" xfId="119" applyFill="1"/>
    <xf numFmtId="177" fontId="4" fillId="4" borderId="0" xfId="119" applyNumberFormat="1" applyFill="1"/>
    <xf numFmtId="0" fontId="61" fillId="4" borderId="70" xfId="119" applyFont="1" applyFill="1" applyBorder="1" applyAlignment="1">
      <alignment horizontal="left"/>
    </xf>
    <xf numFmtId="0" fontId="4" fillId="4" borderId="70" xfId="119" applyFill="1" applyBorder="1"/>
    <xf numFmtId="0" fontId="4" fillId="4" borderId="0" xfId="119" applyFill="1" applyAlignment="1">
      <alignment horizontal="right"/>
    </xf>
    <xf numFmtId="0" fontId="4" fillId="4" borderId="0" xfId="184" applyFont="1" applyFill="1" applyAlignment="1">
      <alignment horizontal="left" vertical="top"/>
    </xf>
    <xf numFmtId="0" fontId="4" fillId="4" borderId="0" xfId="119" applyFill="1" applyAlignment="1">
      <alignment vertical="top"/>
    </xf>
    <xf numFmtId="175" fontId="4" fillId="4" borderId="0" xfId="119" applyNumberFormat="1" applyFill="1"/>
    <xf numFmtId="0" fontId="63" fillId="4" borderId="0" xfId="119" applyFont="1" applyFill="1"/>
    <xf numFmtId="49" fontId="4" fillId="4" borderId="0" xfId="119" applyNumberFormat="1" applyFill="1" applyAlignment="1">
      <alignment vertical="top"/>
    </xf>
    <xf numFmtId="0" fontId="61" fillId="4" borderId="0" xfId="184" applyFont="1" applyFill="1" applyAlignment="1">
      <alignment horizontal="left" vertical="top"/>
    </xf>
    <xf numFmtId="0" fontId="64" fillId="4" borderId="0" xfId="119" applyFont="1" applyFill="1" applyAlignment="1">
      <alignment horizontal="right" vertical="center"/>
    </xf>
    <xf numFmtId="0" fontId="4" fillId="4" borderId="0" xfId="119" applyFill="1" applyAlignment="1">
      <alignment horizontal="center" vertical="top"/>
    </xf>
    <xf numFmtId="0" fontId="68" fillId="4" borderId="0" xfId="119" applyFont="1" applyFill="1" applyAlignment="1">
      <alignment horizontal="center" vertical="top"/>
    </xf>
    <xf numFmtId="0" fontId="2" fillId="4" borderId="0" xfId="119" applyFont="1" applyFill="1" applyAlignment="1">
      <alignment horizontal="left"/>
    </xf>
    <xf numFmtId="1" fontId="61" fillId="4" borderId="55" xfId="184" applyNumberFormat="1" applyFont="1" applyFill="1" applyBorder="1" applyAlignment="1">
      <alignment vertical="top"/>
    </xf>
    <xf numFmtId="1" fontId="61" fillId="4" borderId="56" xfId="184" applyNumberFormat="1" applyFont="1" applyFill="1" applyBorder="1" applyAlignment="1">
      <alignment vertical="top"/>
    </xf>
    <xf numFmtId="0" fontId="61" fillId="4" borderId="56" xfId="184" applyFont="1" applyFill="1" applyBorder="1" applyAlignment="1">
      <alignment vertical="top"/>
    </xf>
    <xf numFmtId="0" fontId="61" fillId="4" borderId="57" xfId="184" applyFont="1" applyFill="1" applyBorder="1" applyAlignment="1">
      <alignment horizontal="right" vertical="top"/>
    </xf>
    <xf numFmtId="1" fontId="61" fillId="4" borderId="58" xfId="184" applyNumberFormat="1" applyFont="1" applyFill="1" applyBorder="1" applyAlignment="1">
      <alignment vertical="top"/>
    </xf>
    <xf numFmtId="1" fontId="61" fillId="4" borderId="0" xfId="184" applyNumberFormat="1" applyFont="1" applyFill="1" applyAlignment="1">
      <alignment vertical="top"/>
    </xf>
    <xf numFmtId="49" fontId="4" fillId="4" borderId="0" xfId="119" applyNumberFormat="1" applyFill="1" applyAlignment="1">
      <alignment vertical="top" wrapText="1"/>
    </xf>
    <xf numFmtId="0" fontId="4" fillId="4" borderId="0" xfId="119" applyFill="1" applyAlignment="1">
      <alignment vertical="top" wrapText="1"/>
    </xf>
    <xf numFmtId="0" fontId="4" fillId="4" borderId="59" xfId="119" applyFill="1" applyBorder="1" applyAlignment="1">
      <alignment vertical="top" wrapText="1"/>
    </xf>
    <xf numFmtId="1" fontId="61" fillId="4" borderId="60" xfId="184" applyNumberFormat="1" applyFont="1" applyFill="1" applyBorder="1" applyAlignment="1">
      <alignment vertical="top"/>
    </xf>
    <xf numFmtId="1" fontId="61" fillId="4" borderId="61" xfId="184" applyNumberFormat="1" applyFont="1" applyFill="1" applyBorder="1" applyAlignment="1">
      <alignment vertical="top"/>
    </xf>
    <xf numFmtId="0" fontId="61" fillId="4" borderId="61" xfId="119" applyFont="1" applyFill="1" applyBorder="1"/>
    <xf numFmtId="49" fontId="60" fillId="4" borderId="62" xfId="119" applyNumberFormat="1" applyFont="1" applyFill="1" applyBorder="1" applyAlignment="1">
      <alignment horizontal="right"/>
    </xf>
    <xf numFmtId="0" fontId="61" fillId="4" borderId="0" xfId="184" applyFont="1" applyFill="1" applyAlignment="1">
      <alignment vertical="top"/>
    </xf>
    <xf numFmtId="176" fontId="10" fillId="4" borderId="0" xfId="0" applyNumberFormat="1" applyFont="1" applyFill="1" applyBorder="1" applyAlignment="1">
      <alignment horizontal="left" vertical="top" wrapText="1"/>
    </xf>
    <xf numFmtId="176" fontId="10" fillId="4" borderId="0" xfId="0" applyNumberFormat="1" applyFont="1" applyFill="1" applyBorder="1" applyAlignment="1">
      <alignment horizontal="left" vertical="top"/>
    </xf>
    <xf numFmtId="176" fontId="0" fillId="4" borderId="0" xfId="0" applyNumberFormat="1" applyFill="1"/>
    <xf numFmtId="0" fontId="69" fillId="36" borderId="1" xfId="0" applyFont="1" applyFill="1" applyBorder="1" applyAlignment="1">
      <alignment horizontal="left" vertical="top" wrapText="1"/>
    </xf>
    <xf numFmtId="0" fontId="69" fillId="36" borderId="1" xfId="0" applyFont="1" applyFill="1" applyBorder="1" applyAlignment="1">
      <alignment horizontal="center" vertical="top" wrapText="1"/>
    </xf>
    <xf numFmtId="0" fontId="69" fillId="36" borderId="1" xfId="0" applyFont="1" applyFill="1" applyBorder="1" applyAlignment="1">
      <alignment horizontal="right" vertical="top" wrapText="1"/>
    </xf>
    <xf numFmtId="0" fontId="10" fillId="4" borderId="72" xfId="0" applyFont="1" applyFill="1" applyBorder="1" applyAlignment="1">
      <alignment vertical="top"/>
    </xf>
    <xf numFmtId="0" fontId="10" fillId="4" borderId="73" xfId="0" applyFont="1" applyFill="1" applyBorder="1" applyAlignment="1">
      <alignment vertical="top"/>
    </xf>
    <xf numFmtId="0" fontId="10" fillId="4" borderId="75" xfId="0" applyFont="1" applyFill="1" applyBorder="1" applyAlignment="1">
      <alignment vertical="top"/>
    </xf>
    <xf numFmtId="0" fontId="10" fillId="4" borderId="74" xfId="0" applyFont="1" applyFill="1" applyBorder="1" applyAlignment="1">
      <alignment vertical="top"/>
    </xf>
    <xf numFmtId="0" fontId="50" fillId="3" borderId="10" xfId="0" applyFont="1" applyFill="1" applyBorder="1" applyAlignment="1">
      <alignment horizontal="left" vertical="top"/>
    </xf>
    <xf numFmtId="44" fontId="50" fillId="0" borderId="71" xfId="0" applyNumberFormat="1" applyFont="1" applyFill="1" applyBorder="1" applyAlignment="1">
      <alignment horizontal="right" vertical="top"/>
    </xf>
    <xf numFmtId="0" fontId="50" fillId="4" borderId="45" xfId="0" applyFont="1" applyFill="1" applyBorder="1" applyAlignment="1">
      <alignment horizontal="left" vertical="top"/>
    </xf>
    <xf numFmtId="0" fontId="51" fillId="4" borderId="72" xfId="0" applyNumberFormat="1" applyFont="1" applyFill="1" applyBorder="1" applyAlignment="1">
      <alignment horizontal="left" vertical="top" wrapText="1"/>
    </xf>
    <xf numFmtId="44" fontId="50" fillId="4" borderId="76" xfId="0" applyNumberFormat="1" applyFont="1" applyFill="1" applyBorder="1" applyAlignment="1">
      <alignment horizontal="right" vertical="top"/>
    </xf>
    <xf numFmtId="0" fontId="50" fillId="4" borderId="46" xfId="0" applyFont="1" applyFill="1" applyBorder="1" applyAlignment="1">
      <alignment horizontal="left" vertical="top"/>
    </xf>
    <xf numFmtId="0" fontId="51" fillId="4" borderId="77" xfId="0" applyNumberFormat="1" applyFont="1" applyFill="1" applyBorder="1" applyAlignment="1">
      <alignment horizontal="left" vertical="top" wrapText="1"/>
    </xf>
    <xf numFmtId="44" fontId="50" fillId="4" borderId="47" xfId="0" applyNumberFormat="1" applyFont="1" applyFill="1" applyBorder="1" applyAlignment="1">
      <alignment horizontal="right" vertical="top"/>
    </xf>
    <xf numFmtId="10" fontId="71" fillId="4" borderId="18" xfId="4" applyNumberFormat="1" applyFont="1" applyFill="1" applyBorder="1" applyAlignment="1">
      <alignment vertical="top"/>
    </xf>
    <xf numFmtId="10" fontId="71" fillId="4" borderId="12" xfId="4" applyNumberFormat="1" applyFont="1" applyFill="1" applyBorder="1" applyAlignment="1">
      <alignment vertical="top"/>
    </xf>
    <xf numFmtId="10" fontId="71" fillId="4" borderId="13" xfId="4" applyNumberFormat="1" applyFont="1" applyFill="1" applyBorder="1" applyAlignment="1">
      <alignment vertical="top"/>
    </xf>
    <xf numFmtId="0" fontId="50" fillId="3" borderId="78" xfId="0" applyFont="1" applyFill="1" applyBorder="1" applyAlignment="1">
      <alignment horizontal="left" vertical="top"/>
    </xf>
    <xf numFmtId="0" fontId="50" fillId="3" borderId="79" xfId="0" applyFont="1" applyFill="1" applyBorder="1" applyAlignment="1">
      <alignment horizontal="right" vertical="top" wrapText="1"/>
    </xf>
    <xf numFmtId="4" fontId="48" fillId="3" borderId="80" xfId="0" applyNumberFormat="1" applyFont="1" applyFill="1" applyBorder="1" applyAlignment="1">
      <alignment horizontal="right" vertical="top"/>
    </xf>
    <xf numFmtId="4" fontId="50" fillId="0" borderId="9" xfId="0" applyNumberFormat="1" applyFont="1" applyFill="1" applyBorder="1" applyAlignment="1">
      <alignment vertical="top"/>
    </xf>
    <xf numFmtId="4" fontId="50" fillId="0" borderId="13" xfId="0" applyNumberFormat="1" applyFont="1" applyFill="1" applyBorder="1" applyAlignment="1">
      <alignment vertical="top"/>
    </xf>
    <xf numFmtId="0" fontId="10" fillId="0" borderId="0" xfId="0" applyFont="1" applyFill="1" applyAlignment="1">
      <alignment horizontal="center" vertical="top"/>
    </xf>
    <xf numFmtId="4" fontId="10" fillId="3" borderId="44" xfId="0" applyNumberFormat="1" applyFont="1" applyFill="1" applyBorder="1" applyAlignment="1">
      <alignment horizontal="center" vertical="top"/>
    </xf>
    <xf numFmtId="4" fontId="10" fillId="3" borderId="45" xfId="0" applyNumberFormat="1" applyFont="1" applyFill="1" applyBorder="1" applyAlignment="1">
      <alignment horizontal="center" vertical="top"/>
    </xf>
    <xf numFmtId="4" fontId="10" fillId="3" borderId="46" xfId="0" applyNumberFormat="1" applyFont="1" applyFill="1" applyBorder="1" applyAlignment="1">
      <alignment horizontal="center" vertical="top"/>
    </xf>
    <xf numFmtId="10" fontId="8" fillId="4" borderId="0" xfId="0" applyNumberFormat="1" applyFont="1" applyFill="1" applyBorder="1" applyAlignment="1">
      <alignment horizontal="left" vertical="top"/>
    </xf>
    <xf numFmtId="0" fontId="9" fillId="3" borderId="81" xfId="0" applyFont="1" applyFill="1" applyBorder="1" applyAlignment="1">
      <alignment vertical="top"/>
    </xf>
    <xf numFmtId="4" fontId="9" fillId="3" borderId="82" xfId="0" applyNumberFormat="1" applyFont="1" applyFill="1" applyBorder="1" applyAlignment="1">
      <alignment horizontal="right" vertical="top"/>
    </xf>
    <xf numFmtId="4" fontId="9" fillId="4" borderId="52" xfId="0" applyNumberFormat="1" applyFont="1" applyFill="1" applyBorder="1" applyAlignment="1">
      <alignment horizontal="right" vertical="top"/>
    </xf>
    <xf numFmtId="10" fontId="8" fillId="4" borderId="84" xfId="0" applyNumberFormat="1" applyFont="1" applyFill="1" applyBorder="1" applyAlignment="1">
      <alignment horizontal="left" vertical="top"/>
    </xf>
    <xf numFmtId="0" fontId="8" fillId="0" borderId="83" xfId="0" applyFont="1" applyFill="1" applyBorder="1" applyAlignment="1">
      <alignment vertical="top"/>
    </xf>
    <xf numFmtId="1" fontId="10" fillId="3" borderId="0" xfId="0" applyNumberFormat="1" applyFont="1" applyFill="1" applyBorder="1" applyAlignment="1">
      <alignment vertical="top"/>
    </xf>
    <xf numFmtId="44" fontId="8" fillId="0" borderId="0" xfId="0" applyNumberFormat="1" applyFont="1" applyFill="1" applyAlignment="1">
      <alignment vertical="top"/>
    </xf>
    <xf numFmtId="0" fontId="7" fillId="3" borderId="16" xfId="0" applyFont="1" applyFill="1" applyBorder="1" applyAlignment="1">
      <alignment horizontal="left"/>
    </xf>
    <xf numFmtId="0" fontId="7" fillId="3" borderId="48" xfId="0" applyFont="1" applyFill="1" applyBorder="1" applyAlignment="1">
      <alignment horizontal="left"/>
    </xf>
    <xf numFmtId="0" fontId="7" fillId="3" borderId="38" xfId="0" applyFont="1" applyFill="1" applyBorder="1" applyAlignment="1">
      <alignment horizontal="left"/>
    </xf>
    <xf numFmtId="0" fontId="7" fillId="3" borderId="40" xfId="0" applyFont="1" applyFill="1" applyBorder="1" applyAlignment="1">
      <alignment horizontal="left"/>
    </xf>
    <xf numFmtId="0" fontId="62" fillId="0" borderId="63" xfId="119" applyFont="1" applyBorder="1" applyAlignment="1">
      <alignment horizontal="center" vertical="center"/>
    </xf>
    <xf numFmtId="4" fontId="62" fillId="0" borderId="63" xfId="119" applyNumberFormat="1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top"/>
    </xf>
    <xf numFmtId="49" fontId="59" fillId="4" borderId="0" xfId="119" applyNumberFormat="1" applyFont="1" applyFill="1" applyBorder="1" applyAlignment="1">
      <alignment horizontal="center" vertical="center"/>
    </xf>
    <xf numFmtId="0" fontId="60" fillId="4" borderId="53" xfId="119" applyFont="1" applyFill="1" applyBorder="1" applyAlignment="1">
      <alignment horizontal="center" vertical="center"/>
    </xf>
    <xf numFmtId="0" fontId="60" fillId="4" borderId="54" xfId="119" applyFont="1" applyFill="1" applyBorder="1" applyAlignment="1">
      <alignment horizontal="center" vertical="center"/>
    </xf>
    <xf numFmtId="0" fontId="60" fillId="4" borderId="49" xfId="119" applyFont="1" applyFill="1" applyBorder="1" applyAlignment="1">
      <alignment horizontal="center" vertical="center"/>
    </xf>
    <xf numFmtId="0" fontId="2" fillId="0" borderId="63" xfId="119" applyFont="1" applyBorder="1" applyAlignment="1">
      <alignment horizontal="left" wrapText="1"/>
    </xf>
    <xf numFmtId="10" fontId="2" fillId="32" borderId="63" xfId="119" applyNumberFormat="1" applyFont="1" applyFill="1" applyBorder="1" applyAlignment="1" applyProtection="1">
      <alignment horizontal="center" vertical="center"/>
      <protection locked="0"/>
    </xf>
    <xf numFmtId="0" fontId="2" fillId="0" borderId="63" xfId="119" applyFont="1" applyBorder="1" applyAlignment="1">
      <alignment horizontal="left"/>
    </xf>
    <xf numFmtId="0" fontId="60" fillId="0" borderId="63" xfId="119" applyFont="1" applyBorder="1" applyAlignment="1">
      <alignment horizontal="center"/>
    </xf>
    <xf numFmtId="0" fontId="61" fillId="0" borderId="64" xfId="184" applyFont="1" applyBorder="1" applyAlignment="1">
      <alignment horizontal="left" vertical="top"/>
    </xf>
    <xf numFmtId="174" fontId="2" fillId="33" borderId="65" xfId="185" applyFont="1" applyFill="1" applyBorder="1" applyAlignment="1" applyProtection="1">
      <alignment horizontal="left"/>
      <protection locked="0"/>
    </xf>
    <xf numFmtId="0" fontId="4" fillId="4" borderId="0" xfId="119" applyFill="1" applyAlignment="1">
      <alignment horizontal="center" vertical="center"/>
    </xf>
    <xf numFmtId="0" fontId="4" fillId="0" borderId="63" xfId="119" applyBorder="1" applyAlignment="1">
      <alignment horizontal="left" vertical="center" wrapText="1" indent="1"/>
    </xf>
    <xf numFmtId="0" fontId="63" fillId="35" borderId="63" xfId="119" applyFont="1" applyFill="1" applyBorder="1" applyAlignment="1">
      <alignment horizontal="center" vertical="center" wrapText="1"/>
    </xf>
    <xf numFmtId="0" fontId="65" fillId="4" borderId="0" xfId="119" applyFont="1" applyFill="1" applyAlignment="1">
      <alignment horizontal="left" vertical="center" indent="1"/>
    </xf>
    <xf numFmtId="175" fontId="4" fillId="4" borderId="66" xfId="119" applyNumberFormat="1" applyFill="1" applyBorder="1" applyAlignment="1">
      <alignment horizontal="left"/>
    </xf>
    <xf numFmtId="176" fontId="4" fillId="4" borderId="66" xfId="119" applyNumberFormat="1" applyFill="1" applyBorder="1" applyAlignment="1">
      <alignment horizontal="left"/>
    </xf>
    <xf numFmtId="0" fontId="61" fillId="4" borderId="0" xfId="119" applyFont="1" applyFill="1" applyAlignment="1">
      <alignment horizontal="left" vertical="center"/>
    </xf>
    <xf numFmtId="0" fontId="66" fillId="4" borderId="0" xfId="119" applyFont="1" applyFill="1" applyAlignment="1">
      <alignment horizontal="right" vertical="center"/>
    </xf>
    <xf numFmtId="0" fontId="67" fillId="4" borderId="0" xfId="119" applyFont="1" applyFill="1" applyAlignment="1">
      <alignment horizontal="center"/>
    </xf>
    <xf numFmtId="0" fontId="66" fillId="4" borderId="0" xfId="119" applyFont="1" applyFill="1" applyAlignment="1">
      <alignment horizontal="left" vertical="center"/>
    </xf>
    <xf numFmtId="0" fontId="66" fillId="4" borderId="0" xfId="119" applyFont="1" applyFill="1" applyAlignment="1">
      <alignment horizontal="center" vertical="top"/>
    </xf>
    <xf numFmtId="0" fontId="4" fillId="0" borderId="67" xfId="119" applyBorder="1" applyAlignment="1">
      <alignment horizontal="center" vertical="center" wrapText="1"/>
    </xf>
    <xf numFmtId="0" fontId="4" fillId="0" borderId="68" xfId="119" applyBorder="1" applyAlignment="1">
      <alignment horizontal="center" vertical="center" wrapText="1"/>
    </xf>
    <xf numFmtId="0" fontId="4" fillId="0" borderId="69" xfId="119" applyBorder="1" applyAlignment="1">
      <alignment horizontal="center" vertical="center" wrapText="1"/>
    </xf>
    <xf numFmtId="49" fontId="4" fillId="32" borderId="63" xfId="119" applyNumberForma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9" fontId="59" fillId="0" borderId="23" xfId="119" applyNumberFormat="1" applyFont="1" applyBorder="1" applyAlignment="1">
      <alignment horizontal="center" vertical="center"/>
    </xf>
    <xf numFmtId="49" fontId="59" fillId="0" borderId="52" xfId="119" applyNumberFormat="1" applyFont="1" applyBorder="1" applyAlignment="1">
      <alignment horizontal="center" vertical="center"/>
    </xf>
    <xf numFmtId="49" fontId="59" fillId="0" borderId="50" xfId="119" applyNumberFormat="1" applyFont="1" applyBorder="1" applyAlignment="1">
      <alignment horizontal="center" vertical="center"/>
    </xf>
    <xf numFmtId="0" fontId="60" fillId="0" borderId="53" xfId="119" applyFont="1" applyBorder="1" applyAlignment="1">
      <alignment horizontal="center" vertical="center"/>
    </xf>
    <xf numFmtId="0" fontId="60" fillId="0" borderId="54" xfId="119" applyFont="1" applyBorder="1" applyAlignment="1">
      <alignment horizontal="center" vertical="center"/>
    </xf>
    <xf numFmtId="0" fontId="60" fillId="0" borderId="49" xfId="119" applyFont="1" applyBorder="1" applyAlignment="1">
      <alignment horizontal="center" vertical="center"/>
    </xf>
    <xf numFmtId="0" fontId="66" fillId="0" borderId="0" xfId="119" applyFont="1" applyAlignment="1">
      <alignment horizontal="right" vertical="center"/>
    </xf>
    <xf numFmtId="0" fontId="67" fillId="0" borderId="0" xfId="119" applyFont="1" applyAlignment="1">
      <alignment horizontal="center"/>
    </xf>
    <xf numFmtId="0" fontId="66" fillId="0" borderId="0" xfId="119" applyFont="1" applyAlignment="1">
      <alignment horizontal="left" vertical="center"/>
    </xf>
    <xf numFmtId="0" fontId="66" fillId="0" borderId="0" xfId="119" applyFont="1" applyAlignment="1">
      <alignment horizontal="center" vertical="top"/>
    </xf>
    <xf numFmtId="0" fontId="65" fillId="0" borderId="0" xfId="119" applyFont="1" applyAlignment="1">
      <alignment horizontal="left" vertical="center" indent="1"/>
    </xf>
    <xf numFmtId="0" fontId="4" fillId="0" borderId="0" xfId="119" applyAlignment="1">
      <alignment horizontal="center" vertical="center"/>
    </xf>
    <xf numFmtId="175" fontId="4" fillId="0" borderId="66" xfId="119" applyNumberFormat="1" applyBorder="1" applyAlignment="1">
      <alignment horizontal="left"/>
    </xf>
    <xf numFmtId="176" fontId="4" fillId="0" borderId="66" xfId="119" applyNumberFormat="1" applyBorder="1" applyAlignment="1">
      <alignment horizontal="left"/>
    </xf>
    <xf numFmtId="0" fontId="61" fillId="0" borderId="0" xfId="119" applyFont="1" applyAlignment="1">
      <alignment horizontal="left" vertical="center"/>
    </xf>
    <xf numFmtId="0" fontId="7" fillId="3" borderId="39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49" fontId="0" fillId="30" borderId="15" xfId="0" applyNumberFormat="1" applyFill="1" applyBorder="1" applyAlignment="1">
      <alignment horizontal="left"/>
    </xf>
    <xf numFmtId="49" fontId="0" fillId="30" borderId="37" xfId="0" applyNumberFormat="1" applyFill="1" applyBorder="1" applyAlignment="1">
      <alignment horizontal="left"/>
    </xf>
    <xf numFmtId="49" fontId="0" fillId="30" borderId="1" xfId="0" applyNumberFormat="1" applyFill="1" applyBorder="1" applyAlignment="1">
      <alignment horizontal="left"/>
    </xf>
    <xf numFmtId="49" fontId="0" fillId="30" borderId="11" xfId="0" applyNumberFormat="1" applyFill="1" applyBorder="1" applyAlignment="1">
      <alignment horizontal="left"/>
    </xf>
    <xf numFmtId="10" fontId="0" fillId="30" borderId="12" xfId="0" applyNumberFormat="1" applyFill="1" applyBorder="1" applyAlignment="1">
      <alignment horizontal="left"/>
    </xf>
    <xf numFmtId="10" fontId="0" fillId="30" borderId="13" xfId="0" applyNumberFormat="1" applyFill="1" applyBorder="1" applyAlignment="1">
      <alignment horizontal="left"/>
    </xf>
    <xf numFmtId="0" fontId="10" fillId="0" borderId="0" xfId="0" applyFont="1" applyFill="1" applyAlignment="1">
      <alignment horizontal="center" vertical="top"/>
    </xf>
    <xf numFmtId="0" fontId="12" fillId="0" borderId="0" xfId="0" applyNumberFormat="1" applyFont="1" applyFill="1" applyAlignment="1">
      <alignment horizontal="right" vertical="top"/>
    </xf>
    <xf numFmtId="0" fontId="12" fillId="0" borderId="0" xfId="0" applyNumberFormat="1" applyFont="1" applyFill="1" applyAlignment="1">
      <alignment horizontal="center" vertical="top"/>
    </xf>
    <xf numFmtId="4" fontId="11" fillId="3" borderId="16" xfId="0" applyNumberFormat="1" applyFont="1" applyFill="1" applyBorder="1" applyAlignment="1">
      <alignment horizontal="center" vertical="center"/>
    </xf>
    <xf numFmtId="4" fontId="11" fillId="3" borderId="41" xfId="0" applyNumberFormat="1" applyFont="1" applyFill="1" applyBorder="1" applyAlignment="1">
      <alignment horizontal="center" vertical="center"/>
    </xf>
    <xf numFmtId="4" fontId="11" fillId="3" borderId="16" xfId="0" applyNumberFormat="1" applyFont="1" applyFill="1" applyBorder="1" applyAlignment="1">
      <alignment horizontal="center" vertical="center" wrapText="1"/>
    </xf>
    <xf numFmtId="4" fontId="11" fillId="3" borderId="41" xfId="0" applyNumberFormat="1" applyFont="1" applyFill="1" applyBorder="1" applyAlignment="1">
      <alignment horizontal="center" vertical="center" wrapText="1"/>
    </xf>
    <xf numFmtId="4" fontId="11" fillId="3" borderId="42" xfId="0" applyNumberFormat="1" applyFont="1" applyFill="1" applyBorder="1" applyAlignment="1">
      <alignment horizontal="center" vertical="center" wrapText="1"/>
    </xf>
    <xf numFmtId="49" fontId="43" fillId="0" borderId="0" xfId="0" applyNumberFormat="1" applyFont="1" applyFill="1" applyAlignment="1">
      <alignment horizontal="right" vertical="top"/>
    </xf>
    <xf numFmtId="0" fontId="50" fillId="3" borderId="18" xfId="0" applyFont="1" applyFill="1" applyBorder="1" applyAlignment="1">
      <alignment horizontal="right" vertical="top"/>
    </xf>
    <xf numFmtId="0" fontId="50" fillId="3" borderId="12" xfId="0" applyFont="1" applyFill="1" applyBorder="1" applyAlignment="1">
      <alignment horizontal="right" vertical="top"/>
    </xf>
    <xf numFmtId="0" fontId="49" fillId="3" borderId="7" xfId="0" applyFont="1" applyFill="1" applyBorder="1" applyAlignment="1">
      <alignment horizontal="center" vertical="top"/>
    </xf>
    <xf numFmtId="0" fontId="49" fillId="3" borderId="9" xfId="0" applyFont="1" applyFill="1" applyBorder="1" applyAlignment="1">
      <alignment horizontal="center" vertical="top"/>
    </xf>
    <xf numFmtId="49" fontId="48" fillId="3" borderId="51" xfId="0" applyNumberFormat="1" applyFont="1" applyFill="1" applyBorder="1" applyAlignment="1">
      <alignment horizontal="center" vertical="center"/>
    </xf>
    <xf numFmtId="49" fontId="48" fillId="3" borderId="5" xfId="0" applyNumberFormat="1" applyFont="1" applyFill="1" applyBorder="1" applyAlignment="1">
      <alignment horizontal="center" vertical="center"/>
    </xf>
    <xf numFmtId="49" fontId="48" fillId="3" borderId="14" xfId="0" applyNumberFormat="1" applyFont="1" applyFill="1" applyBorder="1" applyAlignment="1">
      <alignment horizontal="center" vertical="center" wrapText="1"/>
    </xf>
    <xf numFmtId="49" fontId="48" fillId="3" borderId="15" xfId="0" applyNumberFormat="1" applyFont="1" applyFill="1" applyBorder="1" applyAlignment="1">
      <alignment horizontal="center" vertical="center" wrapText="1"/>
    </xf>
    <xf numFmtId="49" fontId="48" fillId="3" borderId="16" xfId="0" applyNumberFormat="1" applyFont="1" applyFill="1" applyBorder="1" applyAlignment="1">
      <alignment horizontal="center" vertical="center"/>
    </xf>
    <xf numFmtId="49" fontId="48" fillId="3" borderId="17" xfId="0" applyNumberFormat="1" applyFont="1" applyFill="1" applyBorder="1" applyAlignment="1">
      <alignment horizontal="center" vertical="center"/>
    </xf>
    <xf numFmtId="0" fontId="50" fillId="3" borderId="7" xfId="0" applyFont="1" applyFill="1" applyBorder="1" applyAlignment="1">
      <alignment horizontal="right" vertical="top"/>
    </xf>
    <xf numFmtId="0" fontId="50" fillId="3" borderId="8" xfId="0" applyFont="1" applyFill="1" applyBorder="1" applyAlignment="1">
      <alignment horizontal="right" vertical="top"/>
    </xf>
    <xf numFmtId="49" fontId="55" fillId="0" borderId="0" xfId="0" applyNumberFormat="1" applyFont="1" applyFill="1" applyAlignment="1">
      <alignment horizontal="center" vertical="top"/>
    </xf>
    <xf numFmtId="0" fontId="51" fillId="0" borderId="0" xfId="0" applyNumberFormat="1" applyFont="1" applyFill="1" applyAlignment="1">
      <alignment horizontal="center" vertical="top"/>
    </xf>
    <xf numFmtId="0" fontId="16" fillId="0" borderId="2" xfId="0" applyFont="1" applyFill="1" applyBorder="1" applyAlignment="1" applyProtection="1">
      <alignment horizontal="left" vertical="top" wrapText="1"/>
    </xf>
    <xf numFmtId="0" fontId="16" fillId="0" borderId="3" xfId="0" applyFont="1" applyFill="1" applyBorder="1" applyAlignment="1" applyProtection="1">
      <alignment horizontal="left" vertical="top" wrapText="1"/>
    </xf>
    <xf numFmtId="0" fontId="16" fillId="0" borderId="4" xfId="0" applyFont="1" applyFill="1" applyBorder="1" applyAlignment="1" applyProtection="1">
      <alignment horizontal="left" vertical="top" wrapText="1"/>
    </xf>
    <xf numFmtId="2" fontId="8" fillId="30" borderId="2" xfId="0" applyNumberFormat="1" applyFont="1" applyFill="1" applyBorder="1" applyAlignment="1" applyProtection="1">
      <alignment horizontal="left" vertical="top" wrapText="1"/>
      <protection locked="0"/>
    </xf>
    <xf numFmtId="2" fontId="8" fillId="30" borderId="3" xfId="0" applyNumberFormat="1" applyFont="1" applyFill="1" applyBorder="1" applyAlignment="1" applyProtection="1">
      <alignment horizontal="left" vertical="top" wrapText="1"/>
      <protection locked="0"/>
    </xf>
    <xf numFmtId="2" fontId="8" fillId="30" borderId="4" xfId="0" applyNumberFormat="1" applyFont="1" applyFill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 applyProtection="1">
      <alignment horizontal="left" vertical="top"/>
    </xf>
    <xf numFmtId="0" fontId="15" fillId="0" borderId="3" xfId="0" applyFont="1" applyBorder="1" applyAlignment="1" applyProtection="1">
      <alignment horizontal="left" vertical="top"/>
    </xf>
    <xf numFmtId="0" fontId="15" fillId="0" borderId="4" xfId="0" applyFont="1" applyBorder="1" applyAlignment="1" applyProtection="1">
      <alignment horizontal="left" vertical="top"/>
    </xf>
    <xf numFmtId="17" fontId="54" fillId="0" borderId="2" xfId="0" applyNumberFormat="1" applyFont="1" applyFill="1" applyBorder="1" applyAlignment="1" applyProtection="1">
      <alignment horizontal="left" vertical="top"/>
      <protection locked="0"/>
    </xf>
    <xf numFmtId="17" fontId="54" fillId="0" borderId="4" xfId="0" applyNumberFormat="1" applyFont="1" applyFill="1" applyBorder="1" applyAlignment="1" applyProtection="1">
      <alignment horizontal="left" vertical="top"/>
      <protection locked="0"/>
    </xf>
    <xf numFmtId="49" fontId="43" fillId="0" borderId="0" xfId="0" applyNumberFormat="1" applyFont="1" applyFill="1" applyAlignment="1">
      <alignment horizontal="center" vertical="top"/>
    </xf>
    <xf numFmtId="0" fontId="46" fillId="31" borderId="6" xfId="183" applyFont="1" applyFill="1" applyBorder="1" applyAlignment="1">
      <alignment horizontal="center" wrapText="1"/>
    </xf>
    <xf numFmtId="0" fontId="13" fillId="30" borderId="2" xfId="0" applyFont="1" applyFill="1" applyBorder="1" applyAlignment="1" applyProtection="1">
      <alignment horizontal="left" vertical="center" wrapText="1"/>
      <protection locked="0"/>
    </xf>
    <xf numFmtId="0" fontId="13" fillId="30" borderId="3" xfId="0" applyFont="1" applyFill="1" applyBorder="1" applyAlignment="1" applyProtection="1">
      <alignment horizontal="left" vertical="center" wrapText="1"/>
      <protection locked="0"/>
    </xf>
    <xf numFmtId="0" fontId="13" fillId="30" borderId="4" xfId="0" applyFont="1" applyFill="1" applyBorder="1" applyAlignment="1" applyProtection="1">
      <alignment horizontal="left" vertical="center" wrapText="1"/>
      <protection locked="0"/>
    </xf>
    <xf numFmtId="0" fontId="46" fillId="31" borderId="0" xfId="183" applyFont="1" applyFill="1" applyAlignment="1">
      <alignment horizontal="center" wrapText="1"/>
    </xf>
    <xf numFmtId="0" fontId="10" fillId="0" borderId="0" xfId="183" applyFont="1"/>
  </cellXfs>
  <cellStyles count="187">
    <cellStyle name="0,0_x000d_&#10;NA_x000d_&#10;" xfId="6"/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20% - Ênfase1 2" xfId="17"/>
    <cellStyle name="20% - Ênfase1 3" xfId="18"/>
    <cellStyle name="20% - Ênfase2 2" xfId="19"/>
    <cellStyle name="20% - Ênfase2 3" xfId="20"/>
    <cellStyle name="20% - Ênfase3 2" xfId="21"/>
    <cellStyle name="20% - Ênfase3 3" xfId="22"/>
    <cellStyle name="20% - Ênfase4 2" xfId="23"/>
    <cellStyle name="20% - Ênfase4 3" xfId="24"/>
    <cellStyle name="20% - Ênfase5 2" xfId="25"/>
    <cellStyle name="20% - Ênfase5 3" xfId="26"/>
    <cellStyle name="20% - Ênfase6 2" xfId="27"/>
    <cellStyle name="20% - Ênfase6 3" xfId="28"/>
    <cellStyle name="40% - Accent1" xfId="29"/>
    <cellStyle name="40% - Accent2" xfId="30"/>
    <cellStyle name="40% - Accent3" xfId="31"/>
    <cellStyle name="40% - Accent4" xfId="32"/>
    <cellStyle name="40% - Accent5" xfId="33"/>
    <cellStyle name="40% - Accent6" xfId="34"/>
    <cellStyle name="40% - Ênfase1 2" xfId="35"/>
    <cellStyle name="40% - Ênfase1 3" xfId="36"/>
    <cellStyle name="40% - Ênfase2 2" xfId="37"/>
    <cellStyle name="40% - Ênfase2 3" xfId="38"/>
    <cellStyle name="40% - Ênfase3 2" xfId="39"/>
    <cellStyle name="40% - Ênfase3 3" xfId="40"/>
    <cellStyle name="40% - Ênfase4 2" xfId="41"/>
    <cellStyle name="40% - Ênfase4 3" xfId="42"/>
    <cellStyle name="40% - Ênfase5 2" xfId="43"/>
    <cellStyle name="40% - Ênfase5 3" xfId="44"/>
    <cellStyle name="40% - Ênfase6 2" xfId="45"/>
    <cellStyle name="40% - Ênfase6 3" xfId="46"/>
    <cellStyle name="60% - Accent1" xfId="47"/>
    <cellStyle name="60% - Accent2" xfId="48"/>
    <cellStyle name="60% - Accent3" xfId="49"/>
    <cellStyle name="60% - Accent4" xfId="50"/>
    <cellStyle name="60% - Accent5" xfId="51"/>
    <cellStyle name="60% - Accent6" xfId="52"/>
    <cellStyle name="60% - Ênfase1 2" xfId="53"/>
    <cellStyle name="60% - Ênfase1 3" xfId="54"/>
    <cellStyle name="60% - Ênfase2 2" xfId="55"/>
    <cellStyle name="60% - Ênfase2 3" xfId="56"/>
    <cellStyle name="60% - Ênfase3 2" xfId="57"/>
    <cellStyle name="60% - Ênfase3 3" xfId="58"/>
    <cellStyle name="60% - Ênfase4 2" xfId="59"/>
    <cellStyle name="60% - Ênfase4 3" xfId="60"/>
    <cellStyle name="60% - Ênfase5 2" xfId="61"/>
    <cellStyle name="60% - Ênfase5 3" xfId="62"/>
    <cellStyle name="60% - Ênfase6 2" xfId="63"/>
    <cellStyle name="60% - Ênfase6 3" xfId="64"/>
    <cellStyle name="Accent1" xfId="65"/>
    <cellStyle name="Accent2" xfId="66"/>
    <cellStyle name="Accent3" xfId="67"/>
    <cellStyle name="Accent4" xfId="68"/>
    <cellStyle name="Accent5" xfId="69"/>
    <cellStyle name="Accent6" xfId="70"/>
    <cellStyle name="Bad" xfId="71"/>
    <cellStyle name="Bom 2" xfId="72"/>
    <cellStyle name="Bom 3" xfId="73"/>
    <cellStyle name="Calculation" xfId="74"/>
    <cellStyle name="Cálculo 2" xfId="75"/>
    <cellStyle name="Cálculo 3" xfId="76"/>
    <cellStyle name="Célula de Verificação 2" xfId="77"/>
    <cellStyle name="Célula de Verificação 3" xfId="78"/>
    <cellStyle name="Célula Vinculada 2" xfId="79"/>
    <cellStyle name="Célula Vinculada 3" xfId="80"/>
    <cellStyle name="Check Cell" xfId="81"/>
    <cellStyle name="Ênfase1 2" xfId="82"/>
    <cellStyle name="Ênfase1 3" xfId="83"/>
    <cellStyle name="Ênfase2 2" xfId="84"/>
    <cellStyle name="Ênfase2 3" xfId="85"/>
    <cellStyle name="Ênfase3 2" xfId="86"/>
    <cellStyle name="Ênfase3 3" xfId="87"/>
    <cellStyle name="Ênfase4 2" xfId="88"/>
    <cellStyle name="Ênfase4 3" xfId="89"/>
    <cellStyle name="Ênfase5 2" xfId="90"/>
    <cellStyle name="Ênfase5 3" xfId="91"/>
    <cellStyle name="Ênfase6 2" xfId="92"/>
    <cellStyle name="Ênfase6 3" xfId="93"/>
    <cellStyle name="Entrada 2" xfId="94"/>
    <cellStyle name="Entrada 3" xfId="95"/>
    <cellStyle name="Explanatory Text" xfId="96"/>
    <cellStyle name="Good" xfId="97"/>
    <cellStyle name="Heading 1" xfId="98"/>
    <cellStyle name="Heading 2" xfId="99"/>
    <cellStyle name="Heading 3" xfId="100"/>
    <cellStyle name="Heading 4" xfId="101"/>
    <cellStyle name="Hyperlink" xfId="182" builtinId="8"/>
    <cellStyle name="Hyperlink 2" xfId="102"/>
    <cellStyle name="Incorreto 2" xfId="103"/>
    <cellStyle name="Incorreto 3" xfId="104"/>
    <cellStyle name="Input" xfId="105"/>
    <cellStyle name="Linked Cell" xfId="106"/>
    <cellStyle name="Moeda" xfId="186" builtinId="4"/>
    <cellStyle name="Moeda 2" xfId="5"/>
    <cellStyle name="Moeda_Composicao BDI v2.1" xfId="185"/>
    <cellStyle name="Neutra 2" xfId="107"/>
    <cellStyle name="Neutra 3" xfId="108"/>
    <cellStyle name="Neutral" xfId="109"/>
    <cellStyle name="Normal" xfId="0" builtinId="0"/>
    <cellStyle name="Normal 11" xfId="110"/>
    <cellStyle name="Normal 12" xfId="111"/>
    <cellStyle name="Normal 13" xfId="112"/>
    <cellStyle name="Normal 14" xfId="113"/>
    <cellStyle name="Normal 15" xfId="114"/>
    <cellStyle name="Normal 16" xfId="115"/>
    <cellStyle name="Normal 17" xfId="116"/>
    <cellStyle name="Normal 18" xfId="117"/>
    <cellStyle name="Normal 19" xfId="118"/>
    <cellStyle name="Normal 2" xfId="1"/>
    <cellStyle name="Normal 2 2" xfId="2"/>
    <cellStyle name="Normal 2 2 2" xfId="119"/>
    <cellStyle name="Normal 2 3" xfId="120"/>
    <cellStyle name="Normal 2_Plan2" xfId="121"/>
    <cellStyle name="Normal 20" xfId="122"/>
    <cellStyle name="Normal 21" xfId="123"/>
    <cellStyle name="Normal 22" xfId="124"/>
    <cellStyle name="Normal 23" xfId="125"/>
    <cellStyle name="Normal 24" xfId="126"/>
    <cellStyle name="Normal 25" xfId="7"/>
    <cellStyle name="Normal 26" xfId="127"/>
    <cellStyle name="Normal 27" xfId="128"/>
    <cellStyle name="Normal 28" xfId="129"/>
    <cellStyle name="Normal 29" xfId="130"/>
    <cellStyle name="Normal 3" xfId="3"/>
    <cellStyle name="Normal 3 2" xfId="131"/>
    <cellStyle name="Normal 30" xfId="132"/>
    <cellStyle name="Normal 31" xfId="133"/>
    <cellStyle name="Normal 32" xfId="134"/>
    <cellStyle name="Normal 33" xfId="135"/>
    <cellStyle name="Normal 34" xfId="136"/>
    <cellStyle name="Normal 35" xfId="137"/>
    <cellStyle name="Normal 36" xfId="138"/>
    <cellStyle name="Normal 37" xfId="139"/>
    <cellStyle name="Normal 4" xfId="140"/>
    <cellStyle name="Normal 5" xfId="141"/>
    <cellStyle name="Normal 5 2" xfId="9"/>
    <cellStyle name="Normal 6" xfId="183"/>
    <cellStyle name="Normal 7" xfId="142"/>
    <cellStyle name="Normal 8" xfId="143"/>
    <cellStyle name="Normal 9" xfId="144"/>
    <cellStyle name="Normal_FICHA DE VERIFICAÇÃO PRELIMINAR - Plano R" xfId="184"/>
    <cellStyle name="Normal_Plan1" xfId="10"/>
    <cellStyle name="Nota 2" xfId="145"/>
    <cellStyle name="Nota 3" xfId="146"/>
    <cellStyle name="Note" xfId="147"/>
    <cellStyle name="Output" xfId="148"/>
    <cellStyle name="Porcentagem" xfId="4" builtinId="5"/>
    <cellStyle name="Porcentagem 2" xfId="149"/>
    <cellStyle name="Porcentagem 3" xfId="150"/>
    <cellStyle name="Porcentagem 3 2" xfId="151"/>
    <cellStyle name="Porcentagem 4" xfId="152"/>
    <cellStyle name="Saída 2" xfId="153"/>
    <cellStyle name="Saída 3" xfId="154"/>
    <cellStyle name="Separador de milhares 2" xfId="8"/>
    <cellStyle name="Separador de milhares 3" xfId="155"/>
    <cellStyle name="Texto de Aviso 2" xfId="156"/>
    <cellStyle name="Texto de Aviso 3" xfId="157"/>
    <cellStyle name="Texto Explicativo 2" xfId="158"/>
    <cellStyle name="Texto Explicativo 3" xfId="159"/>
    <cellStyle name="Title" xfId="160"/>
    <cellStyle name="Título 1 2" xfId="161"/>
    <cellStyle name="Título 1 3" xfId="162"/>
    <cellStyle name="Título 2 2" xfId="163"/>
    <cellStyle name="Título 2 3" xfId="164"/>
    <cellStyle name="Título 3 2" xfId="165"/>
    <cellStyle name="Título 3 3" xfId="166"/>
    <cellStyle name="Título 4 2" xfId="167"/>
    <cellStyle name="Título 4 3" xfId="168"/>
    <cellStyle name="Título 5" xfId="169"/>
    <cellStyle name="Título 6" xfId="170"/>
    <cellStyle name="Total 2" xfId="171"/>
    <cellStyle name="Total 3" xfId="172"/>
    <cellStyle name="Vírgula 2" xfId="173"/>
    <cellStyle name="Vírgula 2 2" xfId="174"/>
    <cellStyle name="Vírgula 2_Plan2" xfId="175"/>
    <cellStyle name="Vírgula 3" xfId="176"/>
    <cellStyle name="Vírgula 3 2" xfId="177"/>
    <cellStyle name="Vírgula 3 3" xfId="178"/>
    <cellStyle name="Vírgula 3_Plan2" xfId="179"/>
    <cellStyle name="Vírgula 4" xfId="180"/>
    <cellStyle name="Warning Text" xfId="181"/>
  </cellStyles>
  <dxfs count="175">
    <dxf>
      <fill>
        <patternFill>
          <bgColor theme="8" tint="-0.24994659260841701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  <dxf>
      <numFmt numFmtId="30" formatCode="@"/>
      <fill>
        <patternFill>
          <bgColor theme="0" tint="-0.14996795556505021"/>
        </patternFill>
      </fill>
      <border>
        <left style="thin">
          <color auto="1"/>
        </left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5050"/>
      <color rgb="FFFF0000"/>
      <color rgb="FFCC99FF"/>
      <color rgb="FFDEDEDE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45</xdr:row>
      <xdr:rowOff>629649</xdr:rowOff>
    </xdr:from>
    <xdr:to>
      <xdr:col>5</xdr:col>
      <xdr:colOff>209367</xdr:colOff>
      <xdr:row>50</xdr:row>
      <xdr:rowOff>183362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28600" y="10697574"/>
          <a:ext cx="2790642" cy="1020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90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l"/>
          <a:r>
            <a:rPr lang="pt-BR" sz="9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Responsável Técnico pelo Tomador</a:t>
          </a:r>
        </a:p>
        <a:p>
          <a:pPr eaLnBrk="1" fontAlgn="auto" latinLnBrk="0" hangingPunct="1"/>
          <a:r>
            <a:rPr lang="pt-BR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Adinan Ortolan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Prefeito Municipal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523875</xdr:colOff>
      <xdr:row>45</xdr:row>
      <xdr:rowOff>628650</xdr:rowOff>
    </xdr:from>
    <xdr:to>
      <xdr:col>10</xdr:col>
      <xdr:colOff>803691</xdr:colOff>
      <xdr:row>51</xdr:row>
      <xdr:rowOff>41739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4200525" y="10410825"/>
          <a:ext cx="3080166" cy="1070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90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______________________________________</a:t>
          </a:r>
        </a:p>
        <a:p>
          <a:pPr algn="l"/>
          <a:r>
            <a:rPr lang="pt-BR" sz="9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Responsável Técnico pelo Orçamento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Arquiteto: Davi Guedes da Silva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CAU: 5069769785</a:t>
          </a:r>
        </a:p>
        <a:p>
          <a:pPr algn="l"/>
          <a:r>
            <a:rPr lang="pt-BR" sz="900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ART/RRT: 28027230220423596</a:t>
          </a:r>
          <a:endParaRPr lang="pt-BR" sz="900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476250</xdr:colOff>
      <xdr:row>1</xdr:row>
      <xdr:rowOff>9525</xdr:rowOff>
    </xdr:from>
    <xdr:to>
      <xdr:col>2</xdr:col>
      <xdr:colOff>391353</xdr:colOff>
      <xdr:row>3</xdr:row>
      <xdr:rowOff>209965</xdr:rowOff>
    </xdr:to>
    <xdr:pic>
      <xdr:nvPicPr>
        <xdr:cNvPr id="7" name="Imagem 3" descr="Brasão_Cordeirópolis_novo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3900" y="304800"/>
          <a:ext cx="648528" cy="81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440552</xdr:colOff>
      <xdr:row>47</xdr:row>
      <xdr:rowOff>189125</xdr:rowOff>
    </xdr:from>
    <xdr:to>
      <xdr:col>10</xdr:col>
      <xdr:colOff>682268</xdr:colOff>
      <xdr:row>53</xdr:row>
      <xdr:rowOff>116564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4117202" y="10866650"/>
          <a:ext cx="3042066" cy="1070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90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______________________________________</a:t>
          </a:r>
        </a:p>
        <a:p>
          <a:pPr algn="l"/>
          <a:r>
            <a:rPr lang="pt-BR" sz="9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Responsável Técnico pelo Orçamento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Arquiteta: Elis R. B. Gomes</a:t>
          </a:r>
        </a:p>
        <a:p>
          <a:pPr algn="l"/>
          <a:r>
            <a:rPr lang="pt-BR" sz="900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CAU: </a:t>
          </a:r>
        </a:p>
        <a:p>
          <a:pPr algn="l"/>
          <a:r>
            <a:rPr lang="pt-BR" sz="900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ART/RRT: </a:t>
          </a:r>
          <a:endParaRPr lang="pt-BR" sz="900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561975</xdr:colOff>
      <xdr:row>47</xdr:row>
      <xdr:rowOff>171450</xdr:rowOff>
    </xdr:from>
    <xdr:to>
      <xdr:col>5</xdr:col>
      <xdr:colOff>847542</xdr:colOff>
      <xdr:row>53</xdr:row>
      <xdr:rowOff>54056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809625" y="10848975"/>
          <a:ext cx="2847792" cy="10256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90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l"/>
          <a:r>
            <a:rPr lang="pt-BR" sz="9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Responsável Técnico pelo Tomador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Dr. Zeedivaldo Alves de Miranda</a:t>
          </a:r>
        </a:p>
        <a:p>
          <a:pPr marL="0" indent="0" algn="l"/>
          <a:r>
            <a:rPr lang="pt-BR" sz="900" baseline="0">
              <a:solidFill>
                <a:schemeClr val="dk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Prefeito Municipal</a:t>
          </a:r>
          <a:endParaRPr lang="pt-BR" sz="900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238125</xdr:colOff>
      <xdr:row>0</xdr:row>
      <xdr:rowOff>85726</xdr:rowOff>
    </xdr:from>
    <xdr:to>
      <xdr:col>2</xdr:col>
      <xdr:colOff>240957</xdr:colOff>
      <xdr:row>1</xdr:row>
      <xdr:rowOff>285751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5" y="85726"/>
          <a:ext cx="736257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225424</xdr:colOff>
      <xdr:row>175</xdr:row>
      <xdr:rowOff>57150</xdr:rowOff>
    </xdr:from>
    <xdr:to>
      <xdr:col>8</xdr:col>
      <xdr:colOff>105190</xdr:colOff>
      <xdr:row>181</xdr:row>
      <xdr:rowOff>85724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5187949" y="47434500"/>
          <a:ext cx="2594391" cy="1000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90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l"/>
          <a:r>
            <a:rPr lang="pt-BR" sz="9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Responsável Técnico pelo Orçamento</a:t>
          </a:r>
        </a:p>
        <a:p>
          <a:pPr eaLnBrk="1" fontAlgn="auto" latinLnBrk="0" hangingPunct="1"/>
          <a:r>
            <a:rPr lang="pt-BR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Engenheiro Civil: Davi Guedes da Silva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pt-BR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CREA: 5069769785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ART/RRT: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2802723022043596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1080686</xdr:colOff>
      <xdr:row>177</xdr:row>
      <xdr:rowOff>115762</xdr:rowOff>
    </xdr:from>
    <xdr:to>
      <xdr:col>3</xdr:col>
      <xdr:colOff>680453</xdr:colOff>
      <xdr:row>184</xdr:row>
      <xdr:rowOff>11620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1833161" y="48359887"/>
          <a:ext cx="2847792" cy="10293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pt-BR" sz="900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638174</xdr:colOff>
      <xdr:row>5</xdr:row>
      <xdr:rowOff>24674</xdr:rowOff>
    </xdr:from>
    <xdr:to>
      <xdr:col>2</xdr:col>
      <xdr:colOff>2534478</xdr:colOff>
      <xdr:row>8</xdr:row>
      <xdr:rowOff>93073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828674" y="862874"/>
          <a:ext cx="2629729" cy="601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 b="1"/>
            <a:t>PREFEITURA MUNICIPAL DE</a:t>
          </a:r>
          <a:r>
            <a:rPr lang="pt-BR" sz="900" b="1" baseline="0"/>
            <a:t> CORDEIRÓPOLIS</a:t>
          </a:r>
          <a:endParaRPr lang="pt-BR" sz="900" b="1"/>
        </a:p>
        <a:p>
          <a:r>
            <a:rPr lang="pt-BR" sz="900" b="0"/>
            <a:t>SECRETARIA DE OBRAS E PLANEJAMENTO</a:t>
          </a:r>
        </a:p>
      </xdr:txBody>
    </xdr:sp>
    <xdr:clientData/>
  </xdr:twoCellAnchor>
  <xdr:twoCellAnchor editAs="oneCell">
    <xdr:from>
      <xdr:col>1</xdr:col>
      <xdr:colOff>27748</xdr:colOff>
      <xdr:row>3</xdr:row>
      <xdr:rowOff>47210</xdr:rowOff>
    </xdr:from>
    <xdr:to>
      <xdr:col>1</xdr:col>
      <xdr:colOff>676276</xdr:colOff>
      <xdr:row>8</xdr:row>
      <xdr:rowOff>0</xdr:rowOff>
    </xdr:to>
    <xdr:pic>
      <xdr:nvPicPr>
        <xdr:cNvPr id="6" name="Imagem 3" descr="Brasão_Cordeirópolis_novo.png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8248" y="542510"/>
          <a:ext cx="648528" cy="81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46667</xdr:colOff>
      <xdr:row>52</xdr:row>
      <xdr:rowOff>104774</xdr:rowOff>
    </xdr:from>
    <xdr:to>
      <xdr:col>13</xdr:col>
      <xdr:colOff>342413</xdr:colOff>
      <xdr:row>57</xdr:row>
      <xdr:rowOff>123824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6476042" y="6953249"/>
          <a:ext cx="3305646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Responsável Técnico pelo Orçamento</a:t>
          </a:r>
          <a:endParaRPr lang="pt-BR" sz="900">
            <a:effectLst/>
          </a:endParaRPr>
        </a:p>
        <a:p>
          <a:pPr eaLnBrk="1" fontAlgn="auto" latinLnBrk="0" hangingPunct="1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Engenheiro Civil: Davi Guedes da Silva</a:t>
          </a:r>
          <a:endParaRPr lang="pt-BR" sz="900">
            <a:effectLst/>
          </a:endParaRPr>
        </a:p>
        <a:p>
          <a:pPr eaLnBrk="1" fontAlgn="auto" latinLnBrk="0" hangingPunct="1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CREA: 5069769785</a:t>
          </a:r>
          <a:endParaRPr lang="pt-BR" sz="900">
            <a:effectLst/>
          </a:endParaRP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ART/RRT: 2802723022043596</a:t>
          </a:r>
          <a:endParaRPr lang="pt-BR" sz="900">
            <a:effectLst/>
          </a:endParaRPr>
        </a:p>
        <a:p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207065</xdr:colOff>
      <xdr:row>50</xdr:row>
      <xdr:rowOff>91103</xdr:rowOff>
    </xdr:from>
    <xdr:to>
      <xdr:col>7</xdr:col>
      <xdr:colOff>431707</xdr:colOff>
      <xdr:row>55</xdr:row>
      <xdr:rowOff>74543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/>
      </xdr:nvSpPr>
      <xdr:spPr>
        <a:xfrm>
          <a:off x="3188804" y="6758603"/>
          <a:ext cx="3007599" cy="745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9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0</xdr:col>
      <xdr:colOff>455438</xdr:colOff>
      <xdr:row>3</xdr:row>
      <xdr:rowOff>95250</xdr:rowOff>
    </xdr:to>
    <xdr:pic>
      <xdr:nvPicPr>
        <xdr:cNvPr id="4" name="Imagem 14" descr="Logo ICANP.JPG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455438" cy="4095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0</xdr:row>
      <xdr:rowOff>0</xdr:rowOff>
    </xdr:from>
    <xdr:to>
      <xdr:col>5</xdr:col>
      <xdr:colOff>333374</xdr:colOff>
      <xdr:row>4</xdr:row>
      <xdr:rowOff>19050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/>
      </xdr:nvSpPr>
      <xdr:spPr>
        <a:xfrm>
          <a:off x="523874" y="0"/>
          <a:ext cx="6172200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300" b="1"/>
            <a:t>I.C.A.N.P. - INSTITUTO DE CAMPINAS DE ADMINISTRAÇÃO, NEGÓCIOS E PROJETOS</a:t>
          </a:r>
        </a:p>
        <a:p>
          <a:r>
            <a:rPr lang="pt-BR" sz="1300" b="0"/>
            <a:t>DEPARTAMENTO DE ENGENHARIA E ARQUITETURA</a:t>
          </a:r>
        </a:p>
      </xdr:txBody>
    </xdr:sp>
    <xdr:clientData/>
  </xdr:twoCellAnchor>
  <xdr:twoCellAnchor>
    <xdr:from>
      <xdr:col>4</xdr:col>
      <xdr:colOff>514876</xdr:colOff>
      <xdr:row>36</xdr:row>
      <xdr:rowOff>26761</xdr:rowOff>
    </xdr:from>
    <xdr:to>
      <xdr:col>7</xdr:col>
      <xdr:colOff>886243</xdr:colOff>
      <xdr:row>41</xdr:row>
      <xdr:rowOff>32498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/>
      </xdr:nvSpPr>
      <xdr:spPr>
        <a:xfrm>
          <a:off x="6218670" y="26730379"/>
          <a:ext cx="2881485" cy="790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90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______________________________________</a:t>
          </a:r>
        </a:p>
        <a:p>
          <a:pPr algn="l"/>
          <a:r>
            <a:rPr lang="pt-BR" sz="9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Responsável Técnico pelo Orçamento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Engenheiro: Ricardo Peixoto Dos Santos</a:t>
          </a:r>
        </a:p>
        <a:p>
          <a:pPr algn="l"/>
          <a:r>
            <a:rPr lang="pt-BR" sz="900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CREA: 5070047301</a:t>
          </a:r>
        </a:p>
        <a:p>
          <a:pPr algn="l"/>
          <a:r>
            <a:rPr lang="pt-BR" sz="900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ART/RRT: </a:t>
          </a:r>
          <a:endParaRPr lang="pt-BR" sz="900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493059</xdr:colOff>
      <xdr:row>36</xdr:row>
      <xdr:rowOff>2679</xdr:rowOff>
    </xdr:from>
    <xdr:to>
      <xdr:col>3</xdr:col>
      <xdr:colOff>3340851</xdr:colOff>
      <xdr:row>42</xdr:row>
      <xdr:rowOff>81948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/>
      </xdr:nvSpPr>
      <xdr:spPr>
        <a:xfrm>
          <a:off x="2566147" y="26706297"/>
          <a:ext cx="2847792" cy="1020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90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l"/>
          <a:r>
            <a:rPr lang="pt-BR" sz="9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Responsável Técnico pelo Tomador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Maria de Lourdes da Silva</a:t>
          </a:r>
        </a:p>
        <a:p>
          <a:pPr marL="0" indent="0" algn="l"/>
          <a:r>
            <a:rPr lang="pt-BR" sz="900" baseline="0">
              <a:solidFill>
                <a:schemeClr val="dk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Secretaria Municipal de Obras e Habitação</a:t>
          </a:r>
          <a:endParaRPr lang="pt-BR" sz="900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1556049</xdr:colOff>
      <xdr:row>58</xdr:row>
      <xdr:rowOff>88634</xdr:rowOff>
    </xdr:from>
    <xdr:to>
      <xdr:col>6</xdr:col>
      <xdr:colOff>892577</xdr:colOff>
      <xdr:row>62</xdr:row>
      <xdr:rowOff>116782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 txBox="1"/>
      </xdr:nvSpPr>
      <xdr:spPr>
        <a:xfrm>
          <a:off x="2906114" y="5919591"/>
          <a:ext cx="2881485" cy="790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90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______________________________________</a:t>
          </a:r>
        </a:p>
        <a:p>
          <a:pPr algn="l"/>
          <a:r>
            <a:rPr lang="pt-BR" sz="9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Responsável Técnico pelo Orçamento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Engenheiro: Ricardo Peixoto Dos Santos</a:t>
          </a:r>
        </a:p>
        <a:p>
          <a:pPr algn="l"/>
          <a:r>
            <a:rPr lang="pt-BR" sz="900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CREA: 5070047301</a:t>
          </a:r>
        </a:p>
        <a:p>
          <a:pPr algn="l"/>
          <a:r>
            <a:rPr lang="pt-BR" sz="900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ART/RRT: </a:t>
          </a:r>
          <a:endParaRPr lang="pt-BR" sz="900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33129</xdr:colOff>
      <xdr:row>58</xdr:row>
      <xdr:rowOff>82582</xdr:rowOff>
    </xdr:from>
    <xdr:to>
      <xdr:col>2</xdr:col>
      <xdr:colOff>1530856</xdr:colOff>
      <xdr:row>63</xdr:row>
      <xdr:rowOff>150645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 txBox="1"/>
      </xdr:nvSpPr>
      <xdr:spPr>
        <a:xfrm>
          <a:off x="33129" y="5913539"/>
          <a:ext cx="2847792" cy="1020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90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l"/>
          <a:r>
            <a:rPr lang="pt-BR" sz="9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Responsável Técnico pelo Tomador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Maria de Lourdes da Silva</a:t>
          </a:r>
        </a:p>
        <a:p>
          <a:pPr marL="0" indent="0" algn="l"/>
          <a:r>
            <a:rPr lang="pt-BR" sz="900" baseline="0">
              <a:solidFill>
                <a:schemeClr val="dk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Secretaria Municipal de Obras e Habitação</a:t>
          </a:r>
          <a:endParaRPr lang="pt-BR" sz="900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4288337</xdr:colOff>
      <xdr:row>146</xdr:row>
      <xdr:rowOff>140943</xdr:rowOff>
    </xdr:from>
    <xdr:to>
      <xdr:col>6</xdr:col>
      <xdr:colOff>1894672</xdr:colOff>
      <xdr:row>151</xdr:row>
      <xdr:rowOff>44825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6798455" y="60462208"/>
          <a:ext cx="3321335" cy="8003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Responsável Técnico pelo Orçamento</a:t>
          </a:r>
          <a:endParaRPr lang="pt-BR" sz="900">
            <a:effectLst/>
          </a:endParaRPr>
        </a:p>
        <a:p>
          <a:pPr eaLnBrk="1" fontAlgn="auto" latinLnBrk="0" hangingPunct="1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Engenheiro Civil: Davi Guedes da Silva</a:t>
          </a:r>
          <a:endParaRPr lang="pt-BR" sz="900">
            <a:effectLst/>
          </a:endParaRPr>
        </a:p>
        <a:p>
          <a:pPr eaLnBrk="1" fontAlgn="auto" latinLnBrk="0" hangingPunct="1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CREA: 5069769785</a:t>
          </a:r>
          <a:endParaRPr lang="pt-BR" sz="900">
            <a:effectLst/>
          </a:endParaRP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ART/RRT: 2802723022043596</a:t>
          </a:r>
          <a:endParaRPr lang="pt-BR" sz="900">
            <a:effectLst/>
          </a:endParaRPr>
        </a:p>
        <a:p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986118</xdr:colOff>
      <xdr:row>146</xdr:row>
      <xdr:rowOff>134471</xdr:rowOff>
    </xdr:from>
    <xdr:to>
      <xdr:col>3</xdr:col>
      <xdr:colOff>4012230</xdr:colOff>
      <xdr:row>151</xdr:row>
      <xdr:rowOff>56029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496236" y="60455736"/>
          <a:ext cx="3026112" cy="8180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-%20Backup%20Ricardo\-%20Biblioteca\-%20Profissional\-%20Icanp\S&#195;O%20CAETANO%20DO%20SUL\SENADOR%20FL&#193;QUER\OBSOLETOS\OR&#8364;AMENTO_R08\OR&#8364;AMENTO_R08\DESONERADO\SCS_SENADOR%20FLAQUER_OR&#8364;_R08%20-%20DESONER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/Downloads/CONSTRU&#199;&#195;O%20DE%20PREDIO%20EDUCACION%20-%20Composi&#231;&#245;es%20com%20Pre&#231;o%20Unit&#225;ri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BDI 1"/>
      <sheetName val="ORÇ"/>
      <sheetName val="MEM CALCULO"/>
      <sheetName val="MEM CALCULO ORÇAFASCIO"/>
      <sheetName val="ESTIMATIVA DE CUSTO"/>
      <sheetName val="CRONO FIS-FINANC"/>
      <sheetName val="CRONO DESEMBOLSO"/>
      <sheetName val="Usina CBUQ"/>
      <sheetName val="Bota-fora"/>
      <sheetName val="Mapa BF"/>
      <sheetName val="COMPOSIÇÕES"/>
      <sheetName val="QCI"/>
      <sheetName val="COTAÇÃO"/>
    </sheetNames>
    <sheetDataSet>
      <sheetData sheetId="0">
        <row r="22">
          <cell r="D22" t="str">
            <v>Empreitada por Preço Global</v>
          </cell>
          <cell r="E22" t="str">
            <v>Desonerado</v>
          </cell>
        </row>
        <row r="23">
          <cell r="D23" t="str">
            <v>Empreitada por Preço Unitário</v>
          </cell>
          <cell r="E23" t="str">
            <v>Não Desonerado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PUs"/>
    </sheetNames>
    <sheetDataSet>
      <sheetData sheetId="0">
        <row r="14">
          <cell r="D14" t="str">
            <v>Projeto Executivo de Prevenção e Combate a Incêndio em Formato A0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B21"/>
  <sheetViews>
    <sheetView view="pageBreakPreview" zoomScaleSheetLayoutView="100" workbookViewId="0">
      <selection activeCell="A10" sqref="A10"/>
    </sheetView>
  </sheetViews>
  <sheetFormatPr defaultRowHeight="15"/>
  <cols>
    <col min="1" max="1" width="28.85546875" bestFit="1" customWidth="1"/>
    <col min="2" max="2" width="70.85546875" bestFit="1" customWidth="1"/>
  </cols>
  <sheetData>
    <row r="1" spans="1:2" ht="15.75" thickBot="1">
      <c r="A1" s="350" t="s">
        <v>88</v>
      </c>
      <c r="B1" s="351"/>
    </row>
    <row r="2" spans="1:2">
      <c r="A2" s="126" t="s">
        <v>46</v>
      </c>
      <c r="B2" s="197" t="s">
        <v>441</v>
      </c>
    </row>
    <row r="3" spans="1:2">
      <c r="A3" s="106" t="s">
        <v>47</v>
      </c>
      <c r="B3" s="155" t="s">
        <v>829</v>
      </c>
    </row>
    <row r="4" spans="1:2">
      <c r="A4" s="106" t="s">
        <v>65</v>
      </c>
      <c r="B4" s="155"/>
    </row>
    <row r="5" spans="1:2">
      <c r="A5" s="106" t="s">
        <v>89</v>
      </c>
      <c r="B5" s="155"/>
    </row>
    <row r="6" spans="1:2" ht="15.75" thickBot="1">
      <c r="A6" s="108" t="s">
        <v>90</v>
      </c>
      <c r="B6" s="158"/>
    </row>
    <row r="7" spans="1:2" ht="15.75" thickBot="1">
      <c r="A7" s="33"/>
      <c r="B7" s="42"/>
    </row>
    <row r="8" spans="1:2" ht="15.75" thickBot="1">
      <c r="A8" s="352" t="s">
        <v>66</v>
      </c>
      <c r="B8" s="353"/>
    </row>
    <row r="9" spans="1:2">
      <c r="A9" s="111" t="s">
        <v>67</v>
      </c>
      <c r="B9" s="157"/>
    </row>
    <row r="10" spans="1:2">
      <c r="A10" s="106" t="s">
        <v>68</v>
      </c>
      <c r="B10" s="155"/>
    </row>
    <row r="11" spans="1:2" ht="15.75" thickBot="1">
      <c r="A11" s="108" t="s">
        <v>69</v>
      </c>
      <c r="B11" s="196"/>
    </row>
    <row r="12" spans="1:2" ht="15.75" thickBot="1">
      <c r="A12" s="124"/>
      <c r="B12" s="125"/>
    </row>
    <row r="13" spans="1:2" ht="15.75" thickBot="1">
      <c r="A13" s="352" t="s">
        <v>78</v>
      </c>
      <c r="B13" s="353"/>
    </row>
    <row r="14" spans="1:2">
      <c r="A14" s="111" t="s">
        <v>79</v>
      </c>
      <c r="B14" s="157" t="s">
        <v>830</v>
      </c>
    </row>
    <row r="15" spans="1:2">
      <c r="A15" s="106" t="s">
        <v>80</v>
      </c>
      <c r="B15" s="155" t="s">
        <v>823</v>
      </c>
    </row>
    <row r="16" spans="1:2" ht="15.75" thickBot="1">
      <c r="A16" s="108" t="s">
        <v>27</v>
      </c>
      <c r="B16" s="156" t="s">
        <v>824</v>
      </c>
    </row>
    <row r="17" spans="1:2" ht="15.75" thickBot="1"/>
    <row r="18" spans="1:2">
      <c r="A18" s="350" t="s">
        <v>82</v>
      </c>
      <c r="B18" s="351"/>
    </row>
    <row r="19" spans="1:2">
      <c r="A19" s="154"/>
      <c r="B19" s="155"/>
    </row>
    <row r="20" spans="1:2">
      <c r="A20" s="154"/>
      <c r="B20" s="155"/>
    </row>
    <row r="21" spans="1:2">
      <c r="A21" s="154"/>
      <c r="B21" s="155"/>
    </row>
  </sheetData>
  <mergeCells count="4">
    <mergeCell ref="A1:B1"/>
    <mergeCell ref="A8:B8"/>
    <mergeCell ref="A13:B13"/>
    <mergeCell ref="A18:B18"/>
  </mergeCells>
  <dataValidations count="3">
    <dataValidation type="list" showInputMessage="1" showErrorMessage="1" sqref="B9">
      <formula1>Sigilo</formula1>
    </dataValidation>
    <dataValidation type="list" allowBlank="1" showInputMessage="1" showErrorMessage="1" sqref="B6">
      <formula1>TIPO_LIC</formula1>
    </dataValidation>
    <dataValidation type="list" allowBlank="1" showInputMessage="1" showErrorMessage="1" sqref="B5">
      <formula1>LISTA_SECRETARIAS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Plan8"/>
  <dimension ref="A1:D29"/>
  <sheetViews>
    <sheetView workbookViewId="0">
      <selection activeCell="A10" sqref="A10"/>
    </sheetView>
  </sheetViews>
  <sheetFormatPr defaultRowHeight="15"/>
  <cols>
    <col min="5" max="5" width="75.5703125" bestFit="1" customWidth="1"/>
    <col min="6" max="6" width="55.42578125" bestFit="1" customWidth="1"/>
    <col min="7" max="7" width="19.140625" bestFit="1" customWidth="1"/>
    <col min="8" max="8" width="7" bestFit="1" customWidth="1"/>
    <col min="9" max="9" width="4.85546875" bestFit="1" customWidth="1"/>
    <col min="10" max="10" width="6.140625" bestFit="1" customWidth="1"/>
  </cols>
  <sheetData>
    <row r="1" spans="1:4">
      <c r="A1" t="s">
        <v>70</v>
      </c>
    </row>
    <row r="2" spans="1:4">
      <c r="A2" t="s">
        <v>74</v>
      </c>
    </row>
    <row r="3" spans="1:4">
      <c r="A3" t="s">
        <v>75</v>
      </c>
      <c r="D3" s="195"/>
    </row>
    <row r="4" spans="1:4">
      <c r="A4" t="s">
        <v>76</v>
      </c>
      <c r="D4" s="195"/>
    </row>
    <row r="5" spans="1:4">
      <c r="A5" t="s">
        <v>77</v>
      </c>
      <c r="D5" s="195"/>
    </row>
    <row r="6" spans="1:4">
      <c r="D6" s="195"/>
    </row>
    <row r="7" spans="1:4">
      <c r="A7" t="s">
        <v>93</v>
      </c>
      <c r="D7" s="195"/>
    </row>
    <row r="8" spans="1:4">
      <c r="A8" t="s">
        <v>91</v>
      </c>
      <c r="D8" s="195"/>
    </row>
    <row r="9" spans="1:4">
      <c r="A9" t="s">
        <v>117</v>
      </c>
      <c r="D9" s="195"/>
    </row>
    <row r="10" spans="1:4">
      <c r="A10" t="s">
        <v>92</v>
      </c>
      <c r="D10" s="195"/>
    </row>
    <row r="11" spans="1:4">
      <c r="A11" t="s">
        <v>113</v>
      </c>
      <c r="D11" s="195"/>
    </row>
    <row r="12" spans="1:4">
      <c r="D12" s="195"/>
    </row>
    <row r="13" spans="1:4">
      <c r="A13" t="s">
        <v>94</v>
      </c>
      <c r="D13" s="195"/>
    </row>
    <row r="14" spans="1:4">
      <c r="A14" t="s">
        <v>105</v>
      </c>
      <c r="D14" s="195" t="s">
        <v>111</v>
      </c>
    </row>
    <row r="15" spans="1:4">
      <c r="A15" t="s">
        <v>95</v>
      </c>
      <c r="D15" t="s">
        <v>112</v>
      </c>
    </row>
    <row r="16" spans="1:4">
      <c r="A16" t="s">
        <v>101</v>
      </c>
      <c r="D16" s="195"/>
    </row>
    <row r="17" spans="1:4">
      <c r="A17" t="s">
        <v>99</v>
      </c>
      <c r="D17" s="195" t="s">
        <v>111</v>
      </c>
    </row>
    <row r="18" spans="1:4">
      <c r="A18" t="s">
        <v>98</v>
      </c>
      <c r="D18" s="195" t="s">
        <v>112</v>
      </c>
    </row>
    <row r="19" spans="1:4">
      <c r="A19" t="s">
        <v>96</v>
      </c>
      <c r="D19" s="195" t="s">
        <v>114</v>
      </c>
    </row>
    <row r="20" spans="1:4">
      <c r="A20" t="s">
        <v>106</v>
      </c>
    </row>
    <row r="21" spans="1:4">
      <c r="A21" t="s">
        <v>102</v>
      </c>
      <c r="D21" s="195" t="s">
        <v>116</v>
      </c>
    </row>
    <row r="22" spans="1:4">
      <c r="A22" t="s">
        <v>104</v>
      </c>
    </row>
    <row r="23" spans="1:4">
      <c r="A23" t="s">
        <v>100</v>
      </c>
    </row>
    <row r="24" spans="1:4">
      <c r="A24" t="s">
        <v>107</v>
      </c>
    </row>
    <row r="25" spans="1:4">
      <c r="A25" t="s">
        <v>110</v>
      </c>
    </row>
    <row r="26" spans="1:4">
      <c r="A26" t="s">
        <v>103</v>
      </c>
    </row>
    <row r="27" spans="1:4">
      <c r="A27" t="s">
        <v>97</v>
      </c>
    </row>
    <row r="28" spans="1:4">
      <c r="A28" t="s">
        <v>108</v>
      </c>
    </row>
    <row r="29" spans="1:4">
      <c r="A29" t="s">
        <v>109</v>
      </c>
    </row>
  </sheetData>
  <sortState ref="A14:A29">
    <sortCondition ref="A14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ilha2">
    <pageSetUpPr fitToPage="1"/>
  </sheetPr>
  <dimension ref="B1:AF59"/>
  <sheetViews>
    <sheetView view="pageBreakPreview" topLeftCell="A19" zoomScaleSheetLayoutView="100" workbookViewId="0">
      <selection activeCell="F51" sqref="F51"/>
    </sheetView>
  </sheetViews>
  <sheetFormatPr defaultRowHeight="15"/>
  <cols>
    <col min="1" max="1" width="3.7109375" customWidth="1"/>
    <col min="2" max="2" width="11" customWidth="1"/>
    <col min="6" max="6" width="13" customWidth="1"/>
    <col min="8" max="8" width="11" customWidth="1"/>
    <col min="9" max="9" width="10.28515625" customWidth="1"/>
    <col min="10" max="10" width="11.5703125" customWidth="1"/>
    <col min="11" max="11" width="12.85546875" customWidth="1"/>
    <col min="12" max="12" width="5" customWidth="1"/>
  </cols>
  <sheetData>
    <row r="1" spans="2:15" ht="23.25" customHeight="1"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2:15" ht="28.5" customHeight="1">
      <c r="B2" s="357"/>
      <c r="C2" s="357"/>
      <c r="D2" s="357"/>
      <c r="E2" s="357"/>
      <c r="F2" s="357"/>
      <c r="G2" s="357"/>
      <c r="H2" s="357"/>
      <c r="I2" s="357"/>
      <c r="J2" s="357"/>
      <c r="K2" s="357"/>
    </row>
    <row r="3" spans="2:15" ht="20.25" customHeight="1">
      <c r="B3" s="358" t="s">
        <v>442</v>
      </c>
      <c r="C3" s="358"/>
      <c r="D3" s="358"/>
      <c r="E3" s="358"/>
      <c r="F3" s="358"/>
      <c r="G3" s="358"/>
      <c r="H3" s="358"/>
      <c r="I3" s="358"/>
      <c r="J3" s="358"/>
      <c r="K3" s="358"/>
    </row>
    <row r="4" spans="2:15" ht="21" customHeight="1" thickBot="1">
      <c r="B4" s="359" t="s">
        <v>211</v>
      </c>
      <c r="C4" s="360"/>
      <c r="D4" s="360"/>
      <c r="E4" s="360"/>
      <c r="F4" s="360"/>
      <c r="G4" s="360"/>
      <c r="H4" s="360"/>
      <c r="I4" s="360"/>
      <c r="J4" s="360"/>
      <c r="K4" s="361"/>
    </row>
    <row r="5" spans="2:15" ht="8.25" customHeight="1" thickBot="1">
      <c r="B5" s="283"/>
      <c r="C5" s="283"/>
      <c r="D5" s="283"/>
      <c r="E5" s="283"/>
      <c r="F5" s="283"/>
      <c r="G5" s="283"/>
      <c r="H5" s="283"/>
      <c r="I5" s="283"/>
      <c r="J5" s="283"/>
      <c r="K5" s="283"/>
    </row>
    <row r="6" spans="2:15" ht="15" customHeight="1" thickTop="1">
      <c r="B6" s="298" t="s">
        <v>212</v>
      </c>
      <c r="C6" s="299" t="str">
        <f>OBJETO</f>
        <v>Construção de Piscina, Banheiros e Sauna no Centro de Lazer</v>
      </c>
      <c r="D6" s="300"/>
      <c r="E6" s="300"/>
      <c r="F6" s="300"/>
      <c r="G6" s="300"/>
      <c r="H6" s="300"/>
      <c r="I6" s="300"/>
      <c r="J6" s="300"/>
      <c r="K6" s="301" t="s">
        <v>822</v>
      </c>
    </row>
    <row r="7" spans="2:15" ht="15" customHeight="1">
      <c r="B7" s="302" t="s">
        <v>213</v>
      </c>
      <c r="C7" s="303" t="str">
        <f>LOCAL</f>
        <v>R. Dr. José Luís Cembraneli, 511 - Vila Olimpya, Cordeirópolis - SP, 13491-122</v>
      </c>
      <c r="D7" s="304"/>
      <c r="E7" s="305"/>
      <c r="F7" s="304"/>
      <c r="G7" s="305"/>
      <c r="H7" s="305"/>
      <c r="I7" s="305"/>
      <c r="J7" s="305"/>
      <c r="K7" s="306"/>
    </row>
    <row r="8" spans="2:15" ht="15" customHeight="1" thickBot="1">
      <c r="B8" s="307" t="s">
        <v>214</v>
      </c>
      <c r="C8" s="308" t="s">
        <v>443</v>
      </c>
      <c r="D8" s="309"/>
      <c r="E8" s="309"/>
      <c r="F8" s="309"/>
      <c r="G8" s="309"/>
      <c r="H8" s="309"/>
      <c r="I8" s="309"/>
      <c r="J8" s="309"/>
      <c r="K8" s="310" t="s">
        <v>262</v>
      </c>
    </row>
    <row r="9" spans="2:15" ht="15" customHeight="1" thickTop="1">
      <c r="B9" s="311"/>
      <c r="C9" s="311"/>
      <c r="D9" s="311"/>
      <c r="E9" s="311"/>
      <c r="F9" s="311"/>
      <c r="G9" s="311"/>
      <c r="H9" s="311"/>
      <c r="I9" s="311"/>
      <c r="J9" s="311"/>
      <c r="K9" s="311"/>
    </row>
    <row r="10" spans="2:15" ht="23.25" customHeight="1">
      <c r="B10" s="362" t="s">
        <v>215</v>
      </c>
      <c r="C10" s="362"/>
      <c r="D10" s="362"/>
      <c r="E10" s="362"/>
      <c r="F10" s="362"/>
      <c r="G10" s="362"/>
      <c r="H10" s="362"/>
      <c r="I10" s="362"/>
      <c r="J10" s="363">
        <v>1</v>
      </c>
      <c r="K10" s="363"/>
    </row>
    <row r="11" spans="2:15">
      <c r="B11" s="364" t="s">
        <v>216</v>
      </c>
      <c r="C11" s="364"/>
      <c r="D11" s="364"/>
      <c r="E11" s="364"/>
      <c r="F11" s="364"/>
      <c r="G11" s="364"/>
      <c r="H11" s="364"/>
      <c r="I11" s="364"/>
      <c r="J11" s="363">
        <v>0.03</v>
      </c>
      <c r="K11" s="363"/>
    </row>
    <row r="12" spans="2:15" ht="4.5" customHeight="1">
      <c r="B12" s="297"/>
      <c r="C12" s="297"/>
      <c r="D12" s="297"/>
      <c r="E12" s="297"/>
      <c r="F12" s="297"/>
      <c r="G12" s="297"/>
      <c r="H12" s="297"/>
      <c r="I12" s="297"/>
      <c r="J12" s="297"/>
      <c r="K12" s="297"/>
    </row>
    <row r="13" spans="2:15" ht="7.5" customHeight="1"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2:15" ht="21.75" customHeight="1">
      <c r="B14" s="365" t="s">
        <v>217</v>
      </c>
      <c r="C14" s="365"/>
      <c r="D14" s="365"/>
      <c r="E14" s="365"/>
      <c r="F14" s="365"/>
      <c r="G14" s="365"/>
      <c r="H14" s="365"/>
      <c r="I14" s="365"/>
      <c r="J14" s="365"/>
      <c r="K14" s="365"/>
    </row>
    <row r="15" spans="2:15">
      <c r="B15" s="283"/>
      <c r="C15" s="283"/>
      <c r="D15" s="283"/>
      <c r="E15" s="283"/>
      <c r="F15" s="283"/>
      <c r="G15" s="283"/>
      <c r="H15" s="283"/>
      <c r="I15" s="283"/>
      <c r="J15" s="283"/>
      <c r="K15" s="283"/>
    </row>
    <row r="16" spans="2:15">
      <c r="B16" s="366" t="s">
        <v>218</v>
      </c>
      <c r="C16" s="366"/>
      <c r="D16" s="366"/>
      <c r="E16" s="366"/>
      <c r="F16" s="366"/>
      <c r="G16" s="366"/>
      <c r="H16" s="366"/>
      <c r="I16" s="366"/>
      <c r="J16" s="366"/>
      <c r="K16" s="366"/>
      <c r="O16" s="214"/>
    </row>
    <row r="17" spans="2:32">
      <c r="B17" s="367" t="s">
        <v>219</v>
      </c>
      <c r="C17" s="367"/>
      <c r="D17" s="367"/>
      <c r="E17" s="367"/>
      <c r="F17" s="367"/>
      <c r="G17" s="367"/>
      <c r="H17" s="367"/>
      <c r="I17" s="367"/>
      <c r="J17" s="367"/>
      <c r="K17" s="367"/>
    </row>
    <row r="18" spans="2:32" ht="15" customHeight="1"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N18" s="231" t="s">
        <v>219</v>
      </c>
      <c r="O18" s="231"/>
      <c r="P18" s="231"/>
      <c r="R18" s="232" t="s">
        <v>220</v>
      </c>
      <c r="S18" s="233"/>
      <c r="T18" s="233"/>
      <c r="V18" s="232" t="s">
        <v>221</v>
      </c>
      <c r="W18" s="233"/>
      <c r="X18" s="233"/>
      <c r="Z18" s="232" t="s">
        <v>222</v>
      </c>
      <c r="AA18" s="233"/>
      <c r="AB18" s="233"/>
      <c r="AD18" s="231" t="s">
        <v>223</v>
      </c>
      <c r="AE18" s="231"/>
      <c r="AF18" s="231"/>
    </row>
    <row r="19" spans="2:32" ht="18.75" customHeight="1">
      <c r="B19" s="354" t="s">
        <v>224</v>
      </c>
      <c r="C19" s="354"/>
      <c r="D19" s="354"/>
      <c r="E19" s="354"/>
      <c r="F19" s="354"/>
      <c r="G19" s="354"/>
      <c r="H19" s="354"/>
      <c r="I19" s="354"/>
      <c r="J19" s="354" t="s">
        <v>225</v>
      </c>
      <c r="K19" s="355" t="s">
        <v>226</v>
      </c>
      <c r="N19" s="234" t="s">
        <v>227</v>
      </c>
      <c r="O19" s="234" t="s">
        <v>228</v>
      </c>
      <c r="P19" s="234" t="s">
        <v>229</v>
      </c>
      <c r="R19" s="234" t="s">
        <v>227</v>
      </c>
      <c r="S19" s="234" t="s">
        <v>228</v>
      </c>
      <c r="T19" s="234" t="s">
        <v>229</v>
      </c>
      <c r="V19" s="234" t="s">
        <v>227</v>
      </c>
      <c r="W19" s="234" t="s">
        <v>228</v>
      </c>
      <c r="X19" s="234" t="s">
        <v>229</v>
      </c>
      <c r="Z19" s="234" t="s">
        <v>227</v>
      </c>
      <c r="AA19" s="234" t="s">
        <v>228</v>
      </c>
      <c r="AB19" s="234" t="s">
        <v>229</v>
      </c>
      <c r="AD19" s="234" t="s">
        <v>227</v>
      </c>
      <c r="AE19" s="234" t="s">
        <v>228</v>
      </c>
      <c r="AF19" s="234" t="s">
        <v>229</v>
      </c>
    </row>
    <row r="20" spans="2:32">
      <c r="B20" s="354"/>
      <c r="C20" s="354"/>
      <c r="D20" s="354"/>
      <c r="E20" s="354"/>
      <c r="F20" s="354"/>
      <c r="G20" s="354"/>
      <c r="H20" s="354"/>
      <c r="I20" s="354"/>
      <c r="J20" s="354"/>
      <c r="K20" s="355"/>
      <c r="N20" s="234"/>
      <c r="O20" s="234"/>
      <c r="P20" s="234"/>
      <c r="R20" s="234"/>
      <c r="S20" s="234"/>
      <c r="T20" s="234"/>
      <c r="V20" s="234"/>
      <c r="W20" s="234"/>
      <c r="X20" s="234"/>
      <c r="Z20" s="234"/>
      <c r="AA20" s="234"/>
      <c r="AB20" s="234"/>
      <c r="AD20" s="234"/>
      <c r="AE20" s="234"/>
      <c r="AF20" s="234"/>
    </row>
    <row r="21" spans="2:32">
      <c r="B21" s="369" t="s">
        <v>230</v>
      </c>
      <c r="C21" s="369"/>
      <c r="D21" s="369"/>
      <c r="E21" s="369"/>
      <c r="F21" s="369"/>
      <c r="G21" s="369"/>
      <c r="H21" s="369"/>
      <c r="I21" s="369"/>
      <c r="J21" s="235" t="s">
        <v>231</v>
      </c>
      <c r="K21" s="236">
        <v>3.7900000000000003E-2</v>
      </c>
      <c r="N21" s="237">
        <v>0.03</v>
      </c>
      <c r="O21" s="237">
        <v>0.04</v>
      </c>
      <c r="P21" s="237">
        <v>5.5E-2</v>
      </c>
      <c r="R21" s="237">
        <v>3.7999999999999999E-2</v>
      </c>
      <c r="S21" s="237">
        <v>4.0099999999999997E-2</v>
      </c>
      <c r="T21" s="237">
        <v>4.6699999999999998E-2</v>
      </c>
      <c r="V21" s="237">
        <v>3.4300000000000004E-2</v>
      </c>
      <c r="W21" s="237">
        <v>4.9299999999999997E-2</v>
      </c>
      <c r="X21" s="237">
        <v>6.7099999999999993E-2</v>
      </c>
      <c r="Z21" s="237">
        <v>1.4999999999999999E-2</v>
      </c>
      <c r="AA21" s="237">
        <v>3.4500000000000003E-2</v>
      </c>
      <c r="AB21" s="237">
        <v>4.4900000000000002E-2</v>
      </c>
      <c r="AD21" s="237" t="s">
        <v>232</v>
      </c>
      <c r="AE21" s="237" t="s">
        <v>232</v>
      </c>
      <c r="AF21" s="237" t="s">
        <v>232</v>
      </c>
    </row>
    <row r="22" spans="2:32">
      <c r="B22" s="369" t="s">
        <v>233</v>
      </c>
      <c r="C22" s="369"/>
      <c r="D22" s="369"/>
      <c r="E22" s="369"/>
      <c r="F22" s="369"/>
      <c r="G22" s="369"/>
      <c r="H22" s="369"/>
      <c r="I22" s="369"/>
      <c r="J22" s="235" t="s">
        <v>234</v>
      </c>
      <c r="K22" s="236">
        <v>3.2000000000000002E-3</v>
      </c>
      <c r="N22" s="237">
        <v>8.0000000000000002E-3</v>
      </c>
      <c r="O22" s="237">
        <v>8.0000000000000002E-3</v>
      </c>
      <c r="P22" s="237">
        <v>0.01</v>
      </c>
      <c r="R22" s="237">
        <v>3.2000000000000002E-3</v>
      </c>
      <c r="S22" s="237">
        <v>4.0000000000000001E-3</v>
      </c>
      <c r="T22" s="237">
        <v>7.4000000000000003E-3</v>
      </c>
      <c r="V22" s="237">
        <v>2.8000000000000004E-3</v>
      </c>
      <c r="W22" s="237">
        <v>4.8999999999999998E-3</v>
      </c>
      <c r="X22" s="237">
        <v>7.4999999999999997E-3</v>
      </c>
      <c r="Z22" s="237">
        <v>3.0000000000000001E-3</v>
      </c>
      <c r="AA22" s="237">
        <v>4.7999999999999996E-3</v>
      </c>
      <c r="AB22" s="237">
        <v>8.199999999999999E-3</v>
      </c>
      <c r="AD22" s="237" t="s">
        <v>232</v>
      </c>
      <c r="AE22" s="237" t="s">
        <v>232</v>
      </c>
      <c r="AF22" s="237" t="s">
        <v>232</v>
      </c>
    </row>
    <row r="23" spans="2:32">
      <c r="B23" s="369" t="s">
        <v>235</v>
      </c>
      <c r="C23" s="369"/>
      <c r="D23" s="369"/>
      <c r="E23" s="369"/>
      <c r="F23" s="369"/>
      <c r="G23" s="369"/>
      <c r="H23" s="369"/>
      <c r="I23" s="369"/>
      <c r="J23" s="235" t="s">
        <v>236</v>
      </c>
      <c r="K23" s="236">
        <v>5.0000000000000001E-3</v>
      </c>
      <c r="N23" s="237">
        <v>9.7000000000000003E-3</v>
      </c>
      <c r="O23" s="237">
        <v>1.2699999999999999E-2</v>
      </c>
      <c r="P23" s="237">
        <v>1.2699999999999999E-2</v>
      </c>
      <c r="R23" s="237">
        <v>5.0000000000000001E-3</v>
      </c>
      <c r="S23" s="237">
        <v>5.6000000000000008E-3</v>
      </c>
      <c r="T23" s="237">
        <v>9.7000000000000003E-3</v>
      </c>
      <c r="V23" s="237">
        <v>0.01</v>
      </c>
      <c r="W23" s="237">
        <v>1.3899999999999999E-2</v>
      </c>
      <c r="X23" s="237">
        <v>1.7399999999999999E-2</v>
      </c>
      <c r="Z23" s="237">
        <v>5.6000000000000008E-3</v>
      </c>
      <c r="AA23" s="237">
        <v>8.5000000000000006E-3</v>
      </c>
      <c r="AB23" s="237">
        <v>8.8999999999999999E-3</v>
      </c>
      <c r="AD23" s="237" t="s">
        <v>232</v>
      </c>
      <c r="AE23" s="237" t="s">
        <v>232</v>
      </c>
      <c r="AF23" s="237" t="s">
        <v>232</v>
      </c>
    </row>
    <row r="24" spans="2:32">
      <c r="B24" s="369" t="s">
        <v>237</v>
      </c>
      <c r="C24" s="369"/>
      <c r="D24" s="369"/>
      <c r="E24" s="369"/>
      <c r="F24" s="369"/>
      <c r="G24" s="369"/>
      <c r="H24" s="369"/>
      <c r="I24" s="369"/>
      <c r="J24" s="235" t="s">
        <v>238</v>
      </c>
      <c r="K24" s="236">
        <v>1.0200000000000001E-2</v>
      </c>
      <c r="N24" s="237">
        <v>5.8999999999999999E-3</v>
      </c>
      <c r="O24" s="237">
        <v>1.23E-2</v>
      </c>
      <c r="P24" s="237">
        <v>1.3899999999999999E-2</v>
      </c>
      <c r="R24" s="237">
        <v>1.0200000000000001E-2</v>
      </c>
      <c r="S24" s="237">
        <v>1.11E-2</v>
      </c>
      <c r="T24" s="237">
        <v>1.21E-2</v>
      </c>
      <c r="V24" s="237">
        <v>9.3999999999999986E-3</v>
      </c>
      <c r="W24" s="237">
        <v>9.8999999999999991E-3</v>
      </c>
      <c r="X24" s="237">
        <v>1.1699999999999999E-2</v>
      </c>
      <c r="Z24" s="237">
        <v>8.5000000000000006E-3</v>
      </c>
      <c r="AA24" s="237">
        <v>8.5000000000000006E-3</v>
      </c>
      <c r="AB24" s="237">
        <v>1.11E-2</v>
      </c>
      <c r="AD24" s="237" t="s">
        <v>232</v>
      </c>
      <c r="AE24" s="237" t="s">
        <v>232</v>
      </c>
      <c r="AF24" s="237" t="s">
        <v>232</v>
      </c>
    </row>
    <row r="25" spans="2:32">
      <c r="B25" s="369" t="s">
        <v>239</v>
      </c>
      <c r="C25" s="369"/>
      <c r="D25" s="369"/>
      <c r="E25" s="369"/>
      <c r="F25" s="369"/>
      <c r="G25" s="369"/>
      <c r="H25" s="369"/>
      <c r="I25" s="369"/>
      <c r="J25" s="235" t="s">
        <v>134</v>
      </c>
      <c r="K25" s="236">
        <v>6.1600000000000002E-2</v>
      </c>
      <c r="N25" s="237">
        <v>6.1600000000000002E-2</v>
      </c>
      <c r="O25" s="237">
        <v>7.400000000000001E-2</v>
      </c>
      <c r="P25" s="237">
        <v>8.9600000000000013E-2</v>
      </c>
      <c r="R25" s="237">
        <v>6.6400000000000001E-2</v>
      </c>
      <c r="S25" s="237">
        <v>7.2999999999999995E-2</v>
      </c>
      <c r="T25" s="237">
        <v>8.6899999999999991E-2</v>
      </c>
      <c r="V25" s="237">
        <v>6.7400000000000002E-2</v>
      </c>
      <c r="W25" s="237">
        <v>8.0399999999999985E-2</v>
      </c>
      <c r="X25" s="237">
        <v>9.4E-2</v>
      </c>
      <c r="Z25" s="237">
        <v>3.5000000000000003E-2</v>
      </c>
      <c r="AA25" s="237">
        <v>5.1100000000000007E-2</v>
      </c>
      <c r="AB25" s="237">
        <v>6.2199999999999998E-2</v>
      </c>
      <c r="AD25" s="237" t="s">
        <v>232</v>
      </c>
      <c r="AE25" s="237" t="s">
        <v>232</v>
      </c>
      <c r="AF25" s="237" t="s">
        <v>232</v>
      </c>
    </row>
    <row r="26" spans="2:32" ht="15" customHeight="1">
      <c r="B26" s="369" t="s">
        <v>240</v>
      </c>
      <c r="C26" s="369"/>
      <c r="D26" s="369"/>
      <c r="E26" s="369"/>
      <c r="F26" s="369"/>
      <c r="G26" s="369"/>
      <c r="H26" s="369"/>
      <c r="I26" s="369"/>
      <c r="J26" s="235" t="s">
        <v>241</v>
      </c>
      <c r="K26" s="236">
        <v>3.6499999999999998E-2</v>
      </c>
      <c r="N26" s="237">
        <v>3.6499999999999998E-2</v>
      </c>
      <c r="O26" s="237">
        <v>3.6499999999999998E-2</v>
      </c>
      <c r="P26" s="237">
        <v>3.6499999999999998E-2</v>
      </c>
      <c r="R26" s="237">
        <v>3.6499999999999998E-2</v>
      </c>
      <c r="S26" s="237">
        <v>3.6499999999999998E-2</v>
      </c>
      <c r="T26" s="237">
        <v>3.6499999999999998E-2</v>
      </c>
      <c r="V26" s="237">
        <v>3.6499999999999998E-2</v>
      </c>
      <c r="W26" s="237">
        <v>3.6499999999999998E-2</v>
      </c>
      <c r="X26" s="237">
        <v>3.6499999999999998E-2</v>
      </c>
      <c r="Z26" s="237">
        <v>3.6499999999999998E-2</v>
      </c>
      <c r="AA26" s="237">
        <v>3.6499999999999998E-2</v>
      </c>
      <c r="AB26" s="237">
        <v>3.6499999999999998E-2</v>
      </c>
      <c r="AD26" s="237">
        <v>3.6499999999999998E-2</v>
      </c>
      <c r="AE26" s="237">
        <v>3.6499999999999998E-2</v>
      </c>
      <c r="AF26" s="237">
        <v>3.6499999999999998E-2</v>
      </c>
    </row>
    <row r="27" spans="2:32" ht="15" customHeight="1">
      <c r="B27" s="369" t="s">
        <v>242</v>
      </c>
      <c r="C27" s="369"/>
      <c r="D27" s="369"/>
      <c r="E27" s="369"/>
      <c r="F27" s="369"/>
      <c r="G27" s="369"/>
      <c r="H27" s="369"/>
      <c r="I27" s="369"/>
      <c r="J27" s="235" t="s">
        <v>243</v>
      </c>
      <c r="K27" s="237">
        <f>J10*J11</f>
        <v>0.03</v>
      </c>
      <c r="N27" s="237">
        <v>0</v>
      </c>
      <c r="O27" s="237">
        <v>2.5000000000000001E-2</v>
      </c>
      <c r="P27" s="237">
        <v>0.05</v>
      </c>
      <c r="R27" s="237">
        <v>0</v>
      </c>
      <c r="S27" s="237">
        <v>2.5000000000000001E-2</v>
      </c>
      <c r="T27" s="237">
        <v>0.05</v>
      </c>
      <c r="V27" s="237">
        <v>0</v>
      </c>
      <c r="W27" s="237">
        <v>2.5000000000000001E-2</v>
      </c>
      <c r="X27" s="237">
        <v>0.05</v>
      </c>
      <c r="Z27" s="237">
        <v>0</v>
      </c>
      <c r="AA27" s="237">
        <v>2.5000000000000001E-2</v>
      </c>
      <c r="AB27" s="237">
        <v>0.05</v>
      </c>
      <c r="AD27" s="237">
        <v>0</v>
      </c>
      <c r="AE27" s="237">
        <v>2.5000000000000001E-2</v>
      </c>
      <c r="AF27" s="237">
        <v>0.05</v>
      </c>
    </row>
    <row r="28" spans="2:32" ht="26.25" customHeight="1">
      <c r="B28" s="369" t="s">
        <v>244</v>
      </c>
      <c r="C28" s="369"/>
      <c r="D28" s="369"/>
      <c r="E28" s="369"/>
      <c r="F28" s="369"/>
      <c r="G28" s="369"/>
      <c r="H28" s="369"/>
      <c r="I28" s="369"/>
      <c r="J28" s="235" t="s">
        <v>245</v>
      </c>
      <c r="K28" s="237">
        <v>0</v>
      </c>
      <c r="N28" s="238">
        <v>0</v>
      </c>
      <c r="O28" s="238">
        <v>4.4999999999999998E-2</v>
      </c>
      <c r="P28" s="238">
        <v>4.4999999999999998E-2</v>
      </c>
      <c r="R28" s="238">
        <v>0</v>
      </c>
      <c r="S28" s="238">
        <v>4.4999999999999998E-2</v>
      </c>
      <c r="T28" s="238">
        <v>4.4999999999999998E-2</v>
      </c>
      <c r="V28" s="238">
        <v>0</v>
      </c>
      <c r="W28" s="238">
        <v>4.4999999999999998E-2</v>
      </c>
      <c r="X28" s="238">
        <v>4.4999999999999998E-2</v>
      </c>
      <c r="Z28" s="238">
        <v>0</v>
      </c>
      <c r="AA28" s="238">
        <v>4.4999999999999998E-2</v>
      </c>
      <c r="AB28" s="238">
        <v>4.4999999999999998E-2</v>
      </c>
      <c r="AD28" s="238">
        <v>0</v>
      </c>
      <c r="AE28" s="238">
        <v>4.4999999999999998E-2</v>
      </c>
      <c r="AF28" s="238">
        <v>4.4999999999999998E-2</v>
      </c>
    </row>
    <row r="29" spans="2:32" ht="15" customHeight="1">
      <c r="B29" s="370" t="s">
        <v>263</v>
      </c>
      <c r="C29" s="370"/>
      <c r="D29" s="370"/>
      <c r="E29" s="370"/>
      <c r="F29" s="370"/>
      <c r="G29" s="370"/>
      <c r="H29" s="370"/>
      <c r="I29" s="370"/>
      <c r="J29" s="239" t="s">
        <v>246</v>
      </c>
      <c r="K29" s="253">
        <f>ROUND(((((1+$K$21+$K$22+$K$23)*(1+$K$24)*(1+$K$25))/(1-$K$26-$K$27))-1),4)</f>
        <v>0.20180000000000001</v>
      </c>
      <c r="N29" s="237">
        <v>0.2034</v>
      </c>
      <c r="O29" s="237">
        <v>0.22120000000000001</v>
      </c>
      <c r="P29" s="237">
        <v>0.25</v>
      </c>
      <c r="R29" s="237">
        <v>0.19600000000000001</v>
      </c>
      <c r="S29" s="237">
        <v>0.2097</v>
      </c>
      <c r="T29" s="237">
        <v>0.24230000000000002</v>
      </c>
      <c r="V29" s="237">
        <v>0.20760000000000001</v>
      </c>
      <c r="W29" s="237">
        <v>0.24179999999999999</v>
      </c>
      <c r="X29" s="237">
        <v>0.26440000000000002</v>
      </c>
      <c r="Z29" s="237">
        <v>0.111</v>
      </c>
      <c r="AA29" s="237">
        <v>0.14019999999999999</v>
      </c>
      <c r="AB29" s="237">
        <v>0.16800000000000001</v>
      </c>
      <c r="AD29" s="237">
        <v>0</v>
      </c>
      <c r="AE29" s="237">
        <v>0</v>
      </c>
      <c r="AF29" s="237">
        <v>0</v>
      </c>
    </row>
    <row r="30" spans="2:32" ht="24" customHeight="1">
      <c r="B30" s="283"/>
      <c r="C30" s="283"/>
      <c r="D30" s="283"/>
      <c r="E30" s="283"/>
      <c r="F30" s="283"/>
      <c r="G30" s="283"/>
      <c r="H30" s="283"/>
      <c r="I30" s="283"/>
      <c r="J30" s="283"/>
      <c r="K30" s="283"/>
    </row>
    <row r="31" spans="2:32" ht="6" customHeight="1">
      <c r="B31" s="294"/>
      <c r="C31" s="371"/>
      <c r="D31" s="371"/>
      <c r="E31" s="371"/>
      <c r="F31" s="371"/>
      <c r="G31" s="371"/>
      <c r="H31" s="371"/>
      <c r="I31" s="371"/>
      <c r="J31" s="371"/>
      <c r="K31" s="371"/>
    </row>
    <row r="32" spans="2:32" ht="2.25" customHeight="1">
      <c r="B32" s="283"/>
      <c r="C32" s="283"/>
      <c r="D32" s="283"/>
      <c r="E32" s="283"/>
      <c r="F32" s="283"/>
      <c r="G32" s="283"/>
      <c r="H32" s="283"/>
      <c r="I32" s="283"/>
      <c r="J32" s="283"/>
      <c r="K32" s="283"/>
    </row>
    <row r="33" spans="2:14" ht="27.75" customHeight="1">
      <c r="B33" s="368" t="s">
        <v>247</v>
      </c>
      <c r="C33" s="368"/>
      <c r="D33" s="368"/>
      <c r="E33" s="368"/>
      <c r="F33" s="368"/>
      <c r="G33" s="368"/>
      <c r="H33" s="368"/>
      <c r="I33" s="368"/>
      <c r="J33" s="368"/>
      <c r="K33" s="368"/>
    </row>
    <row r="34" spans="2:14" ht="15.75">
      <c r="B34" s="295"/>
      <c r="C34" s="295"/>
      <c r="D34" s="295"/>
      <c r="E34" s="375" t="s">
        <v>248</v>
      </c>
      <c r="F34" s="376" t="s">
        <v>249</v>
      </c>
      <c r="G34" s="376"/>
      <c r="H34" s="376"/>
      <c r="I34" s="377" t="s">
        <v>250</v>
      </c>
      <c r="J34" s="295"/>
      <c r="K34" s="295"/>
    </row>
    <row r="35" spans="2:14" ht="15.75">
      <c r="B35" s="295"/>
      <c r="C35" s="295"/>
      <c r="D35" s="295"/>
      <c r="E35" s="375"/>
      <c r="F35" s="378" t="s">
        <v>251</v>
      </c>
      <c r="G35" s="378"/>
      <c r="H35" s="378"/>
      <c r="I35" s="377"/>
      <c r="J35" s="295"/>
      <c r="K35" s="295"/>
    </row>
    <row r="36" spans="2:14">
      <c r="B36" s="296"/>
      <c r="C36" s="296"/>
      <c r="D36" s="296"/>
      <c r="E36" s="296"/>
      <c r="F36" s="296"/>
      <c r="G36" s="296"/>
      <c r="H36" s="296"/>
      <c r="I36" s="296"/>
      <c r="J36" s="296"/>
      <c r="K36" s="296"/>
    </row>
    <row r="37" spans="2:14" ht="15" customHeight="1">
      <c r="B37" s="283"/>
      <c r="C37" s="283"/>
      <c r="D37" s="283"/>
      <c r="E37" s="283"/>
      <c r="F37" s="283"/>
      <c r="G37" s="283"/>
      <c r="H37" s="283"/>
      <c r="I37" s="283"/>
      <c r="J37" s="283"/>
      <c r="K37" s="283"/>
    </row>
    <row r="38" spans="2:14" ht="29.25" customHeight="1">
      <c r="B38" s="379" t="s">
        <v>258</v>
      </c>
      <c r="C38" s="380"/>
      <c r="D38" s="380"/>
      <c r="E38" s="380"/>
      <c r="F38" s="380"/>
      <c r="G38" s="380"/>
      <c r="H38" s="380"/>
      <c r="I38" s="380"/>
      <c r="J38" s="380"/>
      <c r="K38" s="381"/>
      <c r="N38" s="231" t="s">
        <v>252</v>
      </c>
    </row>
    <row r="39" spans="2:14" ht="39.75" customHeight="1"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N39" t="s">
        <v>219</v>
      </c>
    </row>
    <row r="40" spans="2:14">
      <c r="B40" s="283" t="s">
        <v>23</v>
      </c>
      <c r="C40" s="283"/>
      <c r="D40" s="283"/>
      <c r="E40" s="283"/>
      <c r="F40" s="283"/>
      <c r="G40" s="283"/>
      <c r="H40" s="283"/>
      <c r="I40" s="283"/>
      <c r="J40" s="283"/>
      <c r="K40" s="283"/>
      <c r="N40" t="s">
        <v>220</v>
      </c>
    </row>
    <row r="41" spans="2:14" ht="37.5" customHeight="1">
      <c r="B41" s="382"/>
      <c r="C41" s="382"/>
      <c r="D41" s="382"/>
      <c r="E41" s="382"/>
      <c r="F41" s="382"/>
      <c r="G41" s="382"/>
      <c r="H41" s="382"/>
      <c r="I41" s="382"/>
      <c r="J41" s="382"/>
      <c r="K41" s="382"/>
      <c r="N41" t="s">
        <v>221</v>
      </c>
    </row>
    <row r="42" spans="2:14" ht="31.5" customHeight="1"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N42" t="s">
        <v>253</v>
      </c>
    </row>
    <row r="43" spans="2:14">
      <c r="B43" s="372" t="s">
        <v>443</v>
      </c>
      <c r="C43" s="372"/>
      <c r="D43" s="372"/>
      <c r="E43" s="372"/>
      <c r="F43" s="283"/>
      <c r="G43" s="283"/>
      <c r="H43" s="373">
        <f ca="1">TODAY()</f>
        <v>44656</v>
      </c>
      <c r="I43" s="373"/>
      <c r="J43" s="373"/>
      <c r="K43" s="373"/>
      <c r="N43" t="s">
        <v>254</v>
      </c>
    </row>
    <row r="44" spans="2:14">
      <c r="B44" s="374" t="s">
        <v>255</v>
      </c>
      <c r="C44" s="374"/>
      <c r="D44" s="374"/>
      <c r="E44" s="374"/>
      <c r="F44" s="283"/>
      <c r="G44" s="284"/>
      <c r="H44" s="285" t="s">
        <v>256</v>
      </c>
      <c r="I44" s="286"/>
      <c r="J44" s="286"/>
      <c r="K44" s="286"/>
      <c r="N44" t="s">
        <v>222</v>
      </c>
    </row>
    <row r="45" spans="2:14">
      <c r="B45" s="283"/>
      <c r="C45" s="283"/>
      <c r="D45" s="283"/>
      <c r="E45" s="283"/>
      <c r="F45" s="283"/>
      <c r="G45" s="283"/>
      <c r="H45" s="287"/>
      <c r="I45" s="283"/>
      <c r="J45" s="283"/>
      <c r="K45" s="287"/>
      <c r="N45" t="s">
        <v>223</v>
      </c>
    </row>
    <row r="46" spans="2:14" ht="55.5" customHeight="1">
      <c r="B46" s="288"/>
      <c r="C46" s="289"/>
      <c r="D46" s="290"/>
      <c r="E46" s="290"/>
      <c r="F46" s="291"/>
      <c r="G46" s="283"/>
      <c r="H46" s="287"/>
      <c r="I46" s="283"/>
      <c r="J46" s="283"/>
      <c r="K46" s="287"/>
    </row>
    <row r="47" spans="2:14">
      <c r="B47" s="288"/>
      <c r="C47" s="292"/>
      <c r="D47" s="290"/>
      <c r="E47" s="290"/>
      <c r="F47" s="283"/>
      <c r="G47" s="283"/>
      <c r="H47" s="287"/>
      <c r="I47" s="283"/>
      <c r="J47" s="283"/>
      <c r="K47" s="287"/>
      <c r="N47" t="s">
        <v>257</v>
      </c>
    </row>
    <row r="48" spans="2:14">
      <c r="B48" s="288"/>
      <c r="C48" s="289"/>
      <c r="D48" s="290"/>
      <c r="E48" s="290"/>
      <c r="F48" s="291"/>
      <c r="G48" s="283"/>
      <c r="H48" s="287"/>
      <c r="I48" s="283"/>
      <c r="J48" s="283"/>
      <c r="K48" s="287"/>
    </row>
    <row r="49" spans="2:14">
      <c r="B49" s="288"/>
      <c r="C49" s="292"/>
      <c r="D49" s="290"/>
      <c r="E49" s="290"/>
      <c r="F49" s="291"/>
      <c r="G49" s="283"/>
      <c r="H49" s="287"/>
      <c r="I49" s="283"/>
      <c r="J49" s="283"/>
      <c r="K49" s="287"/>
      <c r="N49" t="s">
        <v>258</v>
      </c>
    </row>
    <row r="50" spans="2:14">
      <c r="B50" s="293"/>
      <c r="C50" s="292"/>
      <c r="D50" s="290"/>
      <c r="E50" s="290"/>
      <c r="F50" s="291"/>
      <c r="G50" s="283"/>
      <c r="H50" s="287"/>
      <c r="I50" s="283"/>
      <c r="J50" s="283"/>
      <c r="K50" s="283"/>
    </row>
    <row r="51" spans="2:14">
      <c r="B51" s="214"/>
      <c r="C51" s="214"/>
      <c r="D51" s="214"/>
      <c r="E51" s="214"/>
      <c r="F51" s="214"/>
      <c r="G51" s="214"/>
      <c r="H51" s="214"/>
      <c r="I51" s="214"/>
      <c r="J51" s="214"/>
      <c r="K51" s="214"/>
    </row>
    <row r="52" spans="2:14">
      <c r="B52" s="214"/>
      <c r="C52" s="214"/>
      <c r="D52" s="214"/>
      <c r="E52" s="214"/>
      <c r="F52" s="214"/>
      <c r="G52" s="214"/>
      <c r="H52" s="214"/>
      <c r="I52" s="214"/>
      <c r="J52" s="214"/>
      <c r="K52" s="214"/>
    </row>
    <row r="53" spans="2:14">
      <c r="B53" s="214"/>
      <c r="C53" s="214"/>
      <c r="D53" s="214"/>
      <c r="E53" s="214"/>
      <c r="F53" s="214"/>
      <c r="G53" s="214"/>
      <c r="H53" s="214"/>
      <c r="I53" s="214"/>
      <c r="J53" s="214"/>
      <c r="K53" s="214"/>
    </row>
    <row r="54" spans="2:14">
      <c r="B54" s="214"/>
      <c r="C54" s="214"/>
      <c r="D54" s="214"/>
      <c r="E54" s="214"/>
      <c r="F54" s="214"/>
      <c r="G54" s="214"/>
      <c r="H54" s="214"/>
      <c r="I54" s="214"/>
      <c r="J54" s="214"/>
      <c r="K54" s="214"/>
    </row>
    <row r="55" spans="2:14">
      <c r="B55" s="214"/>
      <c r="C55" s="214"/>
      <c r="D55" s="214"/>
      <c r="E55" s="214"/>
      <c r="F55" s="214"/>
      <c r="G55" s="214"/>
      <c r="H55" s="214"/>
      <c r="I55" s="214"/>
      <c r="J55" s="214"/>
      <c r="K55" s="214"/>
    </row>
    <row r="56" spans="2:14">
      <c r="B56" s="214"/>
      <c r="C56" s="214"/>
      <c r="D56" s="214"/>
      <c r="E56" s="214"/>
      <c r="F56" s="214"/>
      <c r="G56" s="214"/>
      <c r="H56" s="214"/>
      <c r="I56" s="214"/>
      <c r="J56" s="214"/>
      <c r="K56" s="214"/>
    </row>
    <row r="57" spans="2:14">
      <c r="B57" s="214"/>
      <c r="C57" s="214"/>
      <c r="D57" s="214"/>
      <c r="E57" s="214"/>
      <c r="F57" s="214"/>
      <c r="G57" s="214"/>
      <c r="H57" s="214"/>
      <c r="I57" s="214"/>
      <c r="J57" s="214"/>
      <c r="K57" s="214"/>
    </row>
    <row r="58" spans="2:14">
      <c r="B58" s="214"/>
      <c r="C58" s="214"/>
      <c r="D58" s="214"/>
      <c r="E58" s="214"/>
      <c r="F58" s="214"/>
      <c r="G58" s="214"/>
      <c r="H58" s="214"/>
      <c r="I58" s="214"/>
      <c r="J58" s="214"/>
      <c r="K58" s="214"/>
    </row>
    <row r="59" spans="2:14">
      <c r="B59" s="214"/>
      <c r="C59" s="214"/>
      <c r="D59" s="214"/>
      <c r="E59" s="214"/>
      <c r="F59" s="214"/>
      <c r="G59" s="214"/>
      <c r="H59" s="214"/>
      <c r="I59" s="214"/>
      <c r="J59" s="214"/>
      <c r="K59" s="214"/>
    </row>
  </sheetData>
  <mergeCells count="34">
    <mergeCell ref="B43:E43"/>
    <mergeCell ref="H43:K43"/>
    <mergeCell ref="B44:E44"/>
    <mergeCell ref="E34:E35"/>
    <mergeCell ref="F34:H34"/>
    <mergeCell ref="I34:I35"/>
    <mergeCell ref="F35:H35"/>
    <mergeCell ref="B38:K38"/>
    <mergeCell ref="B41:K41"/>
    <mergeCell ref="B33:K33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C31:K31"/>
    <mergeCell ref="B19:I20"/>
    <mergeCell ref="J19:J20"/>
    <mergeCell ref="K19:K20"/>
    <mergeCell ref="B1:K1"/>
    <mergeCell ref="B2:K2"/>
    <mergeCell ref="B3:K3"/>
    <mergeCell ref="B4:K4"/>
    <mergeCell ref="B10:I10"/>
    <mergeCell ref="J10:K10"/>
    <mergeCell ref="B11:I11"/>
    <mergeCell ref="J11:K11"/>
    <mergeCell ref="B14:K14"/>
    <mergeCell ref="B16:K16"/>
    <mergeCell ref="B17:K17"/>
  </mergeCells>
  <dataValidations count="1">
    <dataValidation type="list" allowBlank="1" showInputMessage="1" showErrorMessage="1" promptTitle="Tipo de obra" prompt="Selecione o tipo de obra a ser construído" sqref="B17:K17">
      <formula1>tipoobra</formula1>
    </dataValidation>
  </dataValidations>
  <printOptions horizontalCentered="1"/>
  <pageMargins left="0.25" right="0.25" top="0.75" bottom="0.75" header="0.3" footer="0.3"/>
  <pageSetup paperSize="9" scale="72" orientation="portrait" r:id="rId1"/>
  <headerFooter>
    <oddFooter>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ilha3">
    <pageSetUpPr fitToPage="1"/>
  </sheetPr>
  <dimension ref="B1:AF50"/>
  <sheetViews>
    <sheetView view="pageBreakPreview" zoomScaleSheetLayoutView="100" workbookViewId="0">
      <selection activeCell="K7" sqref="K7"/>
    </sheetView>
  </sheetViews>
  <sheetFormatPr defaultRowHeight="15"/>
  <cols>
    <col min="1" max="1" width="3.7109375" customWidth="1"/>
    <col min="2" max="2" width="11" customWidth="1"/>
    <col min="6" max="6" width="13" customWidth="1"/>
    <col min="8" max="8" width="11" customWidth="1"/>
    <col min="9" max="9" width="10.28515625" customWidth="1"/>
    <col min="10" max="10" width="11.5703125" customWidth="1"/>
    <col min="11" max="11" width="12.85546875" customWidth="1"/>
    <col min="12" max="12" width="5" customWidth="1"/>
  </cols>
  <sheetData>
    <row r="1" spans="2:15" ht="23.25" customHeight="1">
      <c r="B1" s="383" t="s">
        <v>386</v>
      </c>
      <c r="C1" s="383"/>
      <c r="D1" s="383"/>
      <c r="E1" s="383"/>
      <c r="F1" s="383"/>
      <c r="G1" s="383"/>
      <c r="H1" s="383"/>
      <c r="I1" s="383"/>
      <c r="J1" s="383"/>
      <c r="K1" s="383"/>
    </row>
    <row r="2" spans="2:15" ht="28.5" customHeight="1" thickBot="1">
      <c r="B2" s="384" t="s">
        <v>210</v>
      </c>
      <c r="C2" s="384"/>
      <c r="D2" s="384"/>
      <c r="E2" s="384"/>
      <c r="F2" s="384"/>
      <c r="G2" s="384"/>
      <c r="H2" s="384"/>
      <c r="I2" s="384"/>
      <c r="J2" s="384"/>
      <c r="K2" s="384"/>
    </row>
    <row r="3" spans="2:15" ht="20.25" customHeight="1">
      <c r="B3" s="385" t="s">
        <v>387</v>
      </c>
      <c r="C3" s="386"/>
      <c r="D3" s="386"/>
      <c r="E3" s="386"/>
      <c r="F3" s="386"/>
      <c r="G3" s="386"/>
      <c r="H3" s="386"/>
      <c r="I3" s="386"/>
      <c r="J3" s="386"/>
      <c r="K3" s="387"/>
    </row>
    <row r="4" spans="2:15" ht="21" customHeight="1" thickBot="1">
      <c r="B4" s="388" t="s">
        <v>211</v>
      </c>
      <c r="C4" s="389"/>
      <c r="D4" s="389"/>
      <c r="E4" s="389"/>
      <c r="F4" s="389"/>
      <c r="G4" s="389"/>
      <c r="H4" s="389"/>
      <c r="I4" s="389"/>
      <c r="J4" s="389"/>
      <c r="K4" s="390"/>
    </row>
    <row r="5" spans="2:15" ht="8.25" customHeight="1" thickBot="1"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spans="2:15" ht="15" customHeight="1" thickTop="1">
      <c r="B6" s="216" t="s">
        <v>212</v>
      </c>
      <c r="C6" s="217" t="str">
        <f>OBJETO</f>
        <v>Construção de Piscina, Banheiros e Sauna no Centro de Lazer</v>
      </c>
      <c r="D6" s="218"/>
      <c r="E6" s="218"/>
      <c r="F6" s="218"/>
      <c r="G6" s="218"/>
      <c r="H6" s="218"/>
      <c r="I6" s="218"/>
      <c r="J6" s="218"/>
      <c r="K6" s="219" t="s">
        <v>438</v>
      </c>
    </row>
    <row r="7" spans="2:15" ht="15" customHeight="1">
      <c r="B7" s="220" t="s">
        <v>213</v>
      </c>
      <c r="C7" s="221" t="str">
        <f>LOCAL</f>
        <v>R. Dr. José Luís Cembraneli, 511 - Vila Olimpya, Cordeirópolis - SP, 13491-122</v>
      </c>
      <c r="D7" s="222"/>
      <c r="E7" s="223"/>
      <c r="F7" s="222"/>
      <c r="G7" s="223"/>
      <c r="H7" s="223"/>
      <c r="I7" s="223"/>
      <c r="J7" s="223"/>
      <c r="K7" s="224"/>
    </row>
    <row r="8" spans="2:15" ht="15" customHeight="1" thickBot="1">
      <c r="B8" s="225" t="s">
        <v>214</v>
      </c>
      <c r="C8" s="226" t="s">
        <v>259</v>
      </c>
      <c r="D8" s="227"/>
      <c r="E8" s="227"/>
      <c r="F8" s="227"/>
      <c r="G8" s="227"/>
      <c r="H8" s="227"/>
      <c r="I8" s="227"/>
      <c r="J8" s="227"/>
      <c r="K8" s="228" t="s">
        <v>262</v>
      </c>
    </row>
    <row r="9" spans="2:15" ht="15" customHeight="1" thickTop="1"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spans="2:15" ht="23.25" customHeight="1">
      <c r="B10" s="362" t="s">
        <v>215</v>
      </c>
      <c r="C10" s="362"/>
      <c r="D10" s="362"/>
      <c r="E10" s="362"/>
      <c r="F10" s="362"/>
      <c r="G10" s="362"/>
      <c r="H10" s="362"/>
      <c r="I10" s="362"/>
      <c r="J10" s="363">
        <v>1</v>
      </c>
      <c r="K10" s="363"/>
    </row>
    <row r="11" spans="2:15">
      <c r="B11" s="364" t="s">
        <v>216</v>
      </c>
      <c r="C11" s="364"/>
      <c r="D11" s="364"/>
      <c r="E11" s="364"/>
      <c r="F11" s="364"/>
      <c r="G11" s="364"/>
      <c r="H11" s="364"/>
      <c r="I11" s="364"/>
      <c r="J11" s="363">
        <v>0.05</v>
      </c>
      <c r="K11" s="363"/>
    </row>
    <row r="12" spans="2:15" ht="4.5" customHeight="1">
      <c r="B12" s="230"/>
      <c r="C12" s="230"/>
      <c r="D12" s="230"/>
      <c r="E12" s="230"/>
      <c r="F12" s="230"/>
      <c r="G12" s="230"/>
      <c r="H12" s="230"/>
      <c r="I12" s="230"/>
      <c r="J12" s="230"/>
      <c r="K12" s="230"/>
    </row>
    <row r="13" spans="2:15" ht="7.5" customHeight="1"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spans="2:15" ht="21.75" customHeight="1">
      <c r="B14" s="365" t="s">
        <v>217</v>
      </c>
      <c r="C14" s="365"/>
      <c r="D14" s="365"/>
      <c r="E14" s="365"/>
      <c r="F14" s="365"/>
      <c r="G14" s="365"/>
      <c r="H14" s="365"/>
      <c r="I14" s="365"/>
      <c r="J14" s="365"/>
      <c r="K14" s="365"/>
    </row>
    <row r="15" spans="2:15">
      <c r="B15" s="215"/>
      <c r="C15" s="215"/>
      <c r="D15" s="215"/>
      <c r="E15" s="215"/>
      <c r="F15" s="215"/>
      <c r="G15" s="215"/>
      <c r="H15" s="215"/>
      <c r="I15" s="215"/>
      <c r="J15" s="215"/>
      <c r="K15" s="215"/>
    </row>
    <row r="16" spans="2:15">
      <c r="B16" s="366" t="s">
        <v>218</v>
      </c>
      <c r="C16" s="366"/>
      <c r="D16" s="366"/>
      <c r="E16" s="366"/>
      <c r="F16" s="366"/>
      <c r="G16" s="366"/>
      <c r="H16" s="366"/>
      <c r="I16" s="366"/>
      <c r="J16" s="366"/>
      <c r="K16" s="366"/>
      <c r="O16" s="214"/>
    </row>
    <row r="17" spans="2:32">
      <c r="B17" s="367" t="s">
        <v>219</v>
      </c>
      <c r="C17" s="367"/>
      <c r="D17" s="367"/>
      <c r="E17" s="367"/>
      <c r="F17" s="367"/>
      <c r="G17" s="367"/>
      <c r="H17" s="367"/>
      <c r="I17" s="367"/>
      <c r="J17" s="367"/>
      <c r="K17" s="367"/>
    </row>
    <row r="18" spans="2:32" ht="15" customHeight="1"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N18" s="231" t="s">
        <v>219</v>
      </c>
      <c r="O18" s="231"/>
      <c r="P18" s="231"/>
      <c r="R18" s="232" t="s">
        <v>220</v>
      </c>
      <c r="S18" s="233"/>
      <c r="T18" s="233"/>
      <c r="V18" s="232" t="s">
        <v>221</v>
      </c>
      <c r="W18" s="233"/>
      <c r="X18" s="233"/>
      <c r="Z18" s="232" t="s">
        <v>222</v>
      </c>
      <c r="AA18" s="233"/>
      <c r="AB18" s="233"/>
      <c r="AD18" s="231" t="s">
        <v>223</v>
      </c>
      <c r="AE18" s="231"/>
      <c r="AF18" s="231"/>
    </row>
    <row r="19" spans="2:32" ht="18.75" customHeight="1">
      <c r="B19" s="354" t="s">
        <v>224</v>
      </c>
      <c r="C19" s="354"/>
      <c r="D19" s="354"/>
      <c r="E19" s="354"/>
      <c r="F19" s="354"/>
      <c r="G19" s="354"/>
      <c r="H19" s="354"/>
      <c r="I19" s="354"/>
      <c r="J19" s="354" t="s">
        <v>225</v>
      </c>
      <c r="K19" s="355" t="s">
        <v>226</v>
      </c>
      <c r="N19" s="234" t="s">
        <v>227</v>
      </c>
      <c r="O19" s="234" t="s">
        <v>228</v>
      </c>
      <c r="P19" s="234" t="s">
        <v>229</v>
      </c>
      <c r="R19" s="234" t="s">
        <v>227</v>
      </c>
      <c r="S19" s="234" t="s">
        <v>228</v>
      </c>
      <c r="T19" s="234" t="s">
        <v>229</v>
      </c>
      <c r="V19" s="234" t="s">
        <v>227</v>
      </c>
      <c r="W19" s="234" t="s">
        <v>228</v>
      </c>
      <c r="X19" s="234" t="s">
        <v>229</v>
      </c>
      <c r="Z19" s="234" t="s">
        <v>227</v>
      </c>
      <c r="AA19" s="234" t="s">
        <v>228</v>
      </c>
      <c r="AB19" s="234" t="s">
        <v>229</v>
      </c>
      <c r="AD19" s="234" t="s">
        <v>227</v>
      </c>
      <c r="AE19" s="234" t="s">
        <v>228</v>
      </c>
      <c r="AF19" s="234" t="s">
        <v>229</v>
      </c>
    </row>
    <row r="20" spans="2:32">
      <c r="B20" s="354"/>
      <c r="C20" s="354"/>
      <c r="D20" s="354"/>
      <c r="E20" s="354"/>
      <c r="F20" s="354"/>
      <c r="G20" s="354"/>
      <c r="H20" s="354"/>
      <c r="I20" s="354"/>
      <c r="J20" s="354"/>
      <c r="K20" s="355"/>
      <c r="N20" s="234"/>
      <c r="O20" s="234"/>
      <c r="P20" s="234"/>
      <c r="R20" s="234"/>
      <c r="S20" s="234"/>
      <c r="T20" s="234"/>
      <c r="V20" s="234"/>
      <c r="W20" s="234"/>
      <c r="X20" s="234"/>
      <c r="Z20" s="234"/>
      <c r="AA20" s="234"/>
      <c r="AB20" s="234"/>
      <c r="AD20" s="234"/>
      <c r="AE20" s="234"/>
      <c r="AF20" s="234"/>
    </row>
    <row r="21" spans="2:32">
      <c r="B21" s="369" t="s">
        <v>230</v>
      </c>
      <c r="C21" s="369"/>
      <c r="D21" s="369"/>
      <c r="E21" s="369"/>
      <c r="F21" s="369"/>
      <c r="G21" s="369"/>
      <c r="H21" s="369"/>
      <c r="I21" s="369"/>
      <c r="J21" s="235" t="s">
        <v>231</v>
      </c>
      <c r="K21" s="236">
        <v>1.4999999999999999E-2</v>
      </c>
      <c r="N21" s="237">
        <v>0.03</v>
      </c>
      <c r="O21" s="237">
        <v>0.04</v>
      </c>
      <c r="P21" s="237">
        <v>5.5E-2</v>
      </c>
      <c r="R21" s="237">
        <v>3.7999999999999999E-2</v>
      </c>
      <c r="S21" s="237">
        <v>4.0099999999999997E-2</v>
      </c>
      <c r="T21" s="237">
        <v>4.6699999999999998E-2</v>
      </c>
      <c r="V21" s="237">
        <v>3.4300000000000004E-2</v>
      </c>
      <c r="W21" s="237">
        <v>4.9299999999999997E-2</v>
      </c>
      <c r="X21" s="237">
        <v>6.7099999999999993E-2</v>
      </c>
      <c r="Z21" s="237">
        <v>1.4999999999999999E-2</v>
      </c>
      <c r="AA21" s="237">
        <v>3.4500000000000003E-2</v>
      </c>
      <c r="AB21" s="237">
        <v>4.4900000000000002E-2</v>
      </c>
      <c r="AD21" s="237" t="s">
        <v>232</v>
      </c>
      <c r="AE21" s="237" t="s">
        <v>232</v>
      </c>
      <c r="AF21" s="237" t="s">
        <v>232</v>
      </c>
    </row>
    <row r="22" spans="2:32">
      <c r="B22" s="369" t="s">
        <v>233</v>
      </c>
      <c r="C22" s="369"/>
      <c r="D22" s="369"/>
      <c r="E22" s="369"/>
      <c r="F22" s="369"/>
      <c r="G22" s="369"/>
      <c r="H22" s="369"/>
      <c r="I22" s="369"/>
      <c r="J22" s="235" t="s">
        <v>234</v>
      </c>
      <c r="K22" s="236">
        <v>3.0000000000000001E-3</v>
      </c>
      <c r="N22" s="237">
        <v>8.0000000000000002E-3</v>
      </c>
      <c r="O22" s="237">
        <v>8.0000000000000002E-3</v>
      </c>
      <c r="P22" s="237">
        <v>0.01</v>
      </c>
      <c r="R22" s="237">
        <v>3.2000000000000002E-3</v>
      </c>
      <c r="S22" s="237">
        <v>4.0000000000000001E-3</v>
      </c>
      <c r="T22" s="237">
        <v>7.4000000000000003E-3</v>
      </c>
      <c r="V22" s="237">
        <v>2.8000000000000004E-3</v>
      </c>
      <c r="W22" s="237">
        <v>4.8999999999999998E-3</v>
      </c>
      <c r="X22" s="237">
        <v>7.4999999999999997E-3</v>
      </c>
      <c r="Z22" s="237">
        <v>3.0000000000000001E-3</v>
      </c>
      <c r="AA22" s="237">
        <v>4.7999999999999996E-3</v>
      </c>
      <c r="AB22" s="237">
        <v>8.199999999999999E-3</v>
      </c>
      <c r="AD22" s="237" t="s">
        <v>232</v>
      </c>
      <c r="AE22" s="237" t="s">
        <v>232</v>
      </c>
      <c r="AF22" s="237" t="s">
        <v>232</v>
      </c>
    </row>
    <row r="23" spans="2:32">
      <c r="B23" s="369" t="s">
        <v>235</v>
      </c>
      <c r="C23" s="369"/>
      <c r="D23" s="369"/>
      <c r="E23" s="369"/>
      <c r="F23" s="369"/>
      <c r="G23" s="369"/>
      <c r="H23" s="369"/>
      <c r="I23" s="369"/>
      <c r="J23" s="235" t="s">
        <v>236</v>
      </c>
      <c r="K23" s="236">
        <v>5.6000000000000008E-3</v>
      </c>
      <c r="N23" s="237">
        <v>9.7000000000000003E-3</v>
      </c>
      <c r="O23" s="237">
        <v>1.2699999999999999E-2</v>
      </c>
      <c r="P23" s="237">
        <v>1.2699999999999999E-2</v>
      </c>
      <c r="R23" s="237">
        <v>5.0000000000000001E-3</v>
      </c>
      <c r="S23" s="237">
        <v>5.6000000000000008E-3</v>
      </c>
      <c r="T23" s="237">
        <v>9.7000000000000003E-3</v>
      </c>
      <c r="V23" s="237">
        <v>0.01</v>
      </c>
      <c r="W23" s="237">
        <v>1.3899999999999999E-2</v>
      </c>
      <c r="X23" s="237">
        <v>1.7399999999999999E-2</v>
      </c>
      <c r="Z23" s="237">
        <v>5.6000000000000008E-3</v>
      </c>
      <c r="AA23" s="237">
        <v>8.5000000000000006E-3</v>
      </c>
      <c r="AB23" s="237">
        <v>8.8999999999999999E-3</v>
      </c>
      <c r="AD23" s="237" t="s">
        <v>232</v>
      </c>
      <c r="AE23" s="237" t="s">
        <v>232</v>
      </c>
      <c r="AF23" s="237" t="s">
        <v>232</v>
      </c>
    </row>
    <row r="24" spans="2:32">
      <c r="B24" s="369" t="s">
        <v>237</v>
      </c>
      <c r="C24" s="369"/>
      <c r="D24" s="369"/>
      <c r="E24" s="369"/>
      <c r="F24" s="369"/>
      <c r="G24" s="369"/>
      <c r="H24" s="369"/>
      <c r="I24" s="369"/>
      <c r="J24" s="235" t="s">
        <v>238</v>
      </c>
      <c r="K24" s="236">
        <v>8.5000000000000006E-3</v>
      </c>
      <c r="N24" s="237">
        <v>5.8999999999999999E-3</v>
      </c>
      <c r="O24" s="237">
        <v>1.23E-2</v>
      </c>
      <c r="P24" s="237">
        <v>1.3899999999999999E-2</v>
      </c>
      <c r="R24" s="237">
        <v>1.0200000000000001E-2</v>
      </c>
      <c r="S24" s="237">
        <v>1.11E-2</v>
      </c>
      <c r="T24" s="237">
        <v>1.21E-2</v>
      </c>
      <c r="V24" s="237">
        <v>9.3999999999999986E-3</v>
      </c>
      <c r="W24" s="237">
        <v>9.8999999999999991E-3</v>
      </c>
      <c r="X24" s="237">
        <v>1.1699999999999999E-2</v>
      </c>
      <c r="Z24" s="237">
        <v>8.5000000000000006E-3</v>
      </c>
      <c r="AA24" s="237">
        <v>8.5000000000000006E-3</v>
      </c>
      <c r="AB24" s="237">
        <v>1.11E-2</v>
      </c>
      <c r="AD24" s="237" t="s">
        <v>232</v>
      </c>
      <c r="AE24" s="237" t="s">
        <v>232</v>
      </c>
      <c r="AF24" s="237" t="s">
        <v>232</v>
      </c>
    </row>
    <row r="25" spans="2:32">
      <c r="B25" s="369" t="s">
        <v>239</v>
      </c>
      <c r="C25" s="369"/>
      <c r="D25" s="369"/>
      <c r="E25" s="369"/>
      <c r="F25" s="369"/>
      <c r="G25" s="369"/>
      <c r="H25" s="369"/>
      <c r="I25" s="369"/>
      <c r="J25" s="235" t="s">
        <v>134</v>
      </c>
      <c r="K25" s="236">
        <v>3.3599999999999998E-2</v>
      </c>
      <c r="N25" s="237">
        <v>6.1600000000000002E-2</v>
      </c>
      <c r="O25" s="237">
        <v>7.400000000000001E-2</v>
      </c>
      <c r="P25" s="237">
        <v>8.9600000000000013E-2</v>
      </c>
      <c r="R25" s="237">
        <v>6.6400000000000001E-2</v>
      </c>
      <c r="S25" s="237">
        <v>7.2999999999999995E-2</v>
      </c>
      <c r="T25" s="237">
        <v>8.6899999999999991E-2</v>
      </c>
      <c r="V25" s="237">
        <v>6.7400000000000002E-2</v>
      </c>
      <c r="W25" s="237">
        <v>8.0399999999999985E-2</v>
      </c>
      <c r="X25" s="237">
        <v>9.4E-2</v>
      </c>
      <c r="Z25" s="237">
        <v>3.5000000000000003E-2</v>
      </c>
      <c r="AA25" s="237">
        <v>5.1100000000000007E-2</v>
      </c>
      <c r="AB25" s="237">
        <v>6.2199999999999998E-2</v>
      </c>
      <c r="AD25" s="237" t="s">
        <v>232</v>
      </c>
      <c r="AE25" s="237" t="s">
        <v>232</v>
      </c>
      <c r="AF25" s="237" t="s">
        <v>232</v>
      </c>
    </row>
    <row r="26" spans="2:32" ht="15" customHeight="1">
      <c r="B26" s="369" t="s">
        <v>240</v>
      </c>
      <c r="C26" s="369"/>
      <c r="D26" s="369"/>
      <c r="E26" s="369"/>
      <c r="F26" s="369"/>
      <c r="G26" s="369"/>
      <c r="H26" s="369"/>
      <c r="I26" s="369"/>
      <c r="J26" s="235" t="s">
        <v>241</v>
      </c>
      <c r="K26" s="236">
        <v>3.6499999999999998E-2</v>
      </c>
      <c r="N26" s="237">
        <v>3.6499999999999998E-2</v>
      </c>
      <c r="O26" s="237">
        <v>3.6499999999999998E-2</v>
      </c>
      <c r="P26" s="237">
        <v>3.6499999999999998E-2</v>
      </c>
      <c r="R26" s="237">
        <v>3.6499999999999998E-2</v>
      </c>
      <c r="S26" s="237">
        <v>3.6499999999999998E-2</v>
      </c>
      <c r="T26" s="237">
        <v>3.6499999999999998E-2</v>
      </c>
      <c r="V26" s="237">
        <v>3.6499999999999998E-2</v>
      </c>
      <c r="W26" s="237">
        <v>3.6499999999999998E-2</v>
      </c>
      <c r="X26" s="237">
        <v>3.6499999999999998E-2</v>
      </c>
      <c r="Z26" s="237">
        <v>3.6499999999999998E-2</v>
      </c>
      <c r="AA26" s="237">
        <v>3.6499999999999998E-2</v>
      </c>
      <c r="AB26" s="237">
        <v>3.6499999999999998E-2</v>
      </c>
      <c r="AD26" s="237">
        <v>3.6499999999999998E-2</v>
      </c>
      <c r="AE26" s="237">
        <v>3.6499999999999998E-2</v>
      </c>
      <c r="AF26" s="237">
        <v>3.6499999999999998E-2</v>
      </c>
    </row>
    <row r="27" spans="2:32" ht="15" customHeight="1">
      <c r="B27" s="369" t="s">
        <v>242</v>
      </c>
      <c r="C27" s="369"/>
      <c r="D27" s="369"/>
      <c r="E27" s="369"/>
      <c r="F27" s="369"/>
      <c r="G27" s="369"/>
      <c r="H27" s="369"/>
      <c r="I27" s="369"/>
      <c r="J27" s="235" t="s">
        <v>243</v>
      </c>
      <c r="K27" s="237">
        <v>0.05</v>
      </c>
      <c r="N27" s="237">
        <v>0</v>
      </c>
      <c r="O27" s="237">
        <v>2.5000000000000001E-2</v>
      </c>
      <c r="P27" s="237">
        <v>0.05</v>
      </c>
      <c r="R27" s="237">
        <v>0</v>
      </c>
      <c r="S27" s="237">
        <v>2.5000000000000001E-2</v>
      </c>
      <c r="T27" s="237">
        <v>0.05</v>
      </c>
      <c r="V27" s="237">
        <v>0</v>
      </c>
      <c r="W27" s="237">
        <v>2.5000000000000001E-2</v>
      </c>
      <c r="X27" s="237">
        <v>0.05</v>
      </c>
      <c r="Z27" s="237">
        <v>0</v>
      </c>
      <c r="AA27" s="237">
        <v>2.5000000000000001E-2</v>
      </c>
      <c r="AB27" s="237">
        <v>0.05</v>
      </c>
      <c r="AD27" s="237">
        <v>0</v>
      </c>
      <c r="AE27" s="237">
        <v>2.5000000000000001E-2</v>
      </c>
      <c r="AF27" s="237">
        <v>0.05</v>
      </c>
    </row>
    <row r="28" spans="2:32" ht="26.25" customHeight="1">
      <c r="B28" s="369" t="s">
        <v>244</v>
      </c>
      <c r="C28" s="369"/>
      <c r="D28" s="369"/>
      <c r="E28" s="369"/>
      <c r="F28" s="369"/>
      <c r="G28" s="369"/>
      <c r="H28" s="369"/>
      <c r="I28" s="369"/>
      <c r="J28" s="235" t="s">
        <v>245</v>
      </c>
      <c r="K28" s="237">
        <v>0</v>
      </c>
      <c r="N28" s="238">
        <v>0</v>
      </c>
      <c r="O28" s="238">
        <v>4.4999999999999998E-2</v>
      </c>
      <c r="P28" s="238">
        <v>4.4999999999999998E-2</v>
      </c>
      <c r="R28" s="238">
        <v>0</v>
      </c>
      <c r="S28" s="238">
        <v>4.4999999999999998E-2</v>
      </c>
      <c r="T28" s="238">
        <v>4.4999999999999998E-2</v>
      </c>
      <c r="V28" s="238">
        <v>0</v>
      </c>
      <c r="W28" s="238">
        <v>4.4999999999999998E-2</v>
      </c>
      <c r="X28" s="238">
        <v>4.4999999999999998E-2</v>
      </c>
      <c r="Z28" s="238">
        <v>0</v>
      </c>
      <c r="AA28" s="238">
        <v>4.4999999999999998E-2</v>
      </c>
      <c r="AB28" s="238">
        <v>4.4999999999999998E-2</v>
      </c>
      <c r="AD28" s="238">
        <v>0</v>
      </c>
      <c r="AE28" s="238">
        <v>4.4999999999999998E-2</v>
      </c>
      <c r="AF28" s="238">
        <v>4.4999999999999998E-2</v>
      </c>
    </row>
    <row r="29" spans="2:32" ht="15" customHeight="1">
      <c r="B29" s="370" t="s">
        <v>263</v>
      </c>
      <c r="C29" s="370"/>
      <c r="D29" s="370"/>
      <c r="E29" s="370"/>
      <c r="F29" s="370"/>
      <c r="G29" s="370"/>
      <c r="H29" s="370"/>
      <c r="I29" s="370"/>
      <c r="J29" s="254" t="s">
        <v>246</v>
      </c>
      <c r="K29" s="253">
        <f>ROUND(((((1+$K$21+$K$22+$K$23)*(1+$K$24)*(1+$K$25))/(1-$K$26-$K$27))-1),4)</f>
        <v>0.16800000000000001</v>
      </c>
      <c r="N29" s="237">
        <v>0.2034</v>
      </c>
      <c r="O29" s="237">
        <v>0.22120000000000001</v>
      </c>
      <c r="P29" s="237">
        <v>0.25</v>
      </c>
      <c r="R29" s="237">
        <v>0.19600000000000001</v>
      </c>
      <c r="S29" s="237">
        <v>0.2097</v>
      </c>
      <c r="T29" s="237">
        <v>0.24230000000000002</v>
      </c>
      <c r="V29" s="237">
        <v>0.20760000000000001</v>
      </c>
      <c r="W29" s="237">
        <v>0.24179999999999999</v>
      </c>
      <c r="X29" s="237">
        <v>0.26440000000000002</v>
      </c>
      <c r="Z29" s="237">
        <v>0.111</v>
      </c>
      <c r="AA29" s="237">
        <v>0.14019999999999999</v>
      </c>
      <c r="AB29" s="237">
        <v>0.16800000000000001</v>
      </c>
      <c r="AD29" s="237">
        <v>0</v>
      </c>
      <c r="AE29" s="237">
        <v>0</v>
      </c>
      <c r="AF29" s="237">
        <v>0</v>
      </c>
    </row>
    <row r="30" spans="2:32" ht="24" customHeight="1">
      <c r="B30" s="215"/>
      <c r="C30" s="215"/>
      <c r="D30" s="215"/>
      <c r="E30" s="215"/>
      <c r="F30" s="215"/>
      <c r="G30" s="215"/>
      <c r="H30" s="215"/>
      <c r="I30" s="215"/>
      <c r="J30" s="215"/>
      <c r="K30" s="215"/>
    </row>
    <row r="31" spans="2:32" ht="6" customHeight="1">
      <c r="B31" s="240"/>
      <c r="C31" s="395"/>
      <c r="D31" s="395"/>
      <c r="E31" s="395"/>
      <c r="F31" s="395"/>
      <c r="G31" s="395"/>
      <c r="H31" s="395"/>
      <c r="I31" s="395"/>
      <c r="J31" s="395"/>
      <c r="K31" s="395"/>
    </row>
    <row r="32" spans="2:32" ht="2.25" customHeight="1">
      <c r="B32" s="215"/>
      <c r="C32" s="215"/>
      <c r="D32" s="215"/>
      <c r="E32" s="215"/>
      <c r="F32" s="215"/>
      <c r="G32" s="215"/>
      <c r="H32" s="215"/>
      <c r="I32" s="215"/>
      <c r="J32" s="215"/>
      <c r="K32" s="215"/>
    </row>
    <row r="33" spans="2:14" ht="27.75" customHeight="1">
      <c r="B33" s="396" t="s">
        <v>247</v>
      </c>
      <c r="C33" s="396"/>
      <c r="D33" s="396"/>
      <c r="E33" s="396"/>
      <c r="F33" s="396"/>
      <c r="G33" s="396"/>
      <c r="H33" s="396"/>
      <c r="I33" s="396"/>
      <c r="J33" s="396"/>
      <c r="K33" s="396"/>
    </row>
    <row r="34" spans="2:14" ht="15.75">
      <c r="B34" s="241"/>
      <c r="C34" s="241"/>
      <c r="D34" s="241"/>
      <c r="E34" s="391" t="s">
        <v>248</v>
      </c>
      <c r="F34" s="392" t="s">
        <v>249</v>
      </c>
      <c r="G34" s="392"/>
      <c r="H34" s="392"/>
      <c r="I34" s="393" t="s">
        <v>250</v>
      </c>
      <c r="J34" s="241"/>
      <c r="K34" s="241"/>
    </row>
    <row r="35" spans="2:14" ht="15.75">
      <c r="B35" s="241"/>
      <c r="C35" s="241"/>
      <c r="D35" s="241"/>
      <c r="E35" s="391"/>
      <c r="F35" s="394" t="s">
        <v>251</v>
      </c>
      <c r="G35" s="394"/>
      <c r="H35" s="394"/>
      <c r="I35" s="393"/>
      <c r="J35" s="241"/>
      <c r="K35" s="241"/>
    </row>
    <row r="36" spans="2:14">
      <c r="B36" s="242"/>
      <c r="C36" s="242"/>
      <c r="D36" s="242"/>
      <c r="E36" s="242"/>
      <c r="F36" s="242"/>
      <c r="G36" s="242"/>
      <c r="H36" s="242"/>
      <c r="I36" s="242"/>
      <c r="J36" s="242"/>
      <c r="K36" s="242"/>
    </row>
    <row r="37" spans="2:14" ht="15" customHeight="1">
      <c r="B37" s="215"/>
      <c r="C37" s="215"/>
      <c r="D37" s="215"/>
      <c r="E37" s="215"/>
      <c r="F37" s="215"/>
      <c r="G37" s="215"/>
      <c r="H37" s="215"/>
      <c r="I37" s="215"/>
      <c r="J37" s="215"/>
      <c r="K37" s="215"/>
    </row>
    <row r="38" spans="2:14" ht="29.25" customHeight="1">
      <c r="B38" s="379" t="s">
        <v>258</v>
      </c>
      <c r="C38" s="380"/>
      <c r="D38" s="380"/>
      <c r="E38" s="380"/>
      <c r="F38" s="380"/>
      <c r="G38" s="380"/>
      <c r="H38" s="380"/>
      <c r="I38" s="380"/>
      <c r="J38" s="380"/>
      <c r="K38" s="381"/>
      <c r="N38" s="231" t="s">
        <v>252</v>
      </c>
    </row>
    <row r="39" spans="2:14" ht="39.75" customHeight="1"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N39" t="s">
        <v>219</v>
      </c>
    </row>
    <row r="40" spans="2:14">
      <c r="B40" s="215" t="s">
        <v>23</v>
      </c>
      <c r="C40" s="215"/>
      <c r="D40" s="215"/>
      <c r="E40" s="215"/>
      <c r="F40" s="215"/>
      <c r="G40" s="215"/>
      <c r="H40" s="215"/>
      <c r="I40" s="215"/>
      <c r="J40" s="215"/>
      <c r="K40" s="215"/>
      <c r="N40" t="s">
        <v>220</v>
      </c>
    </row>
    <row r="41" spans="2:14">
      <c r="B41" s="382"/>
      <c r="C41" s="382"/>
      <c r="D41" s="382"/>
      <c r="E41" s="382"/>
      <c r="F41" s="382"/>
      <c r="G41" s="382"/>
      <c r="H41" s="382"/>
      <c r="I41" s="382"/>
      <c r="J41" s="382"/>
      <c r="K41" s="382"/>
      <c r="N41" t="s">
        <v>221</v>
      </c>
    </row>
    <row r="42" spans="2:14" ht="31.5" customHeight="1"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N42" t="s">
        <v>253</v>
      </c>
    </row>
    <row r="43" spans="2:14">
      <c r="B43" s="397" t="s">
        <v>259</v>
      </c>
      <c r="C43" s="397"/>
      <c r="D43" s="397"/>
      <c r="E43" s="397"/>
      <c r="F43" s="215"/>
      <c r="G43" s="215"/>
      <c r="H43" s="398">
        <v>44409</v>
      </c>
      <c r="I43" s="398"/>
      <c r="J43" s="398"/>
      <c r="K43" s="398"/>
      <c r="N43" t="s">
        <v>254</v>
      </c>
    </row>
    <row r="44" spans="2:14">
      <c r="B44" s="399" t="s">
        <v>255</v>
      </c>
      <c r="C44" s="399"/>
      <c r="D44" s="399"/>
      <c r="E44" s="399"/>
      <c r="F44" s="215"/>
      <c r="G44" s="243"/>
      <c r="H44" s="244" t="s">
        <v>256</v>
      </c>
      <c r="I44" s="245"/>
      <c r="J44" s="245"/>
      <c r="K44" s="245"/>
      <c r="N44" t="s">
        <v>222</v>
      </c>
    </row>
    <row r="45" spans="2:14">
      <c r="B45" s="215"/>
      <c r="C45" s="215"/>
      <c r="D45" s="215"/>
      <c r="E45" s="215"/>
      <c r="F45" s="215"/>
      <c r="G45" s="215"/>
      <c r="H45" s="250"/>
      <c r="I45" s="215"/>
      <c r="J45" s="215"/>
      <c r="K45" s="250"/>
      <c r="N45" t="s">
        <v>223</v>
      </c>
    </row>
    <row r="46" spans="2:14" ht="55.5" customHeight="1">
      <c r="B46" s="247"/>
      <c r="C46" s="248"/>
      <c r="D46" s="249"/>
      <c r="E46" s="249"/>
      <c r="F46" s="246"/>
      <c r="G46" s="215"/>
      <c r="H46" s="250"/>
      <c r="I46" s="215"/>
      <c r="J46" s="215"/>
      <c r="K46" s="250"/>
    </row>
    <row r="47" spans="2:14">
      <c r="B47" s="247"/>
      <c r="C47" s="251"/>
      <c r="D47" s="249"/>
      <c r="E47" s="249"/>
      <c r="F47" s="215"/>
      <c r="G47" s="215"/>
      <c r="H47" s="250"/>
      <c r="I47" s="215"/>
      <c r="J47" s="215"/>
      <c r="K47" s="250"/>
      <c r="N47" t="s">
        <v>257</v>
      </c>
    </row>
    <row r="48" spans="2:14">
      <c r="B48" s="247"/>
      <c r="C48" s="248"/>
      <c r="D48" s="249"/>
      <c r="E48" s="249"/>
      <c r="F48" s="246"/>
      <c r="G48" s="215"/>
      <c r="H48" s="250"/>
      <c r="I48" s="215"/>
      <c r="J48" s="215"/>
      <c r="K48" s="250"/>
    </row>
    <row r="49" spans="2:14">
      <c r="B49" s="247"/>
      <c r="C49" s="251"/>
      <c r="D49" s="249"/>
      <c r="E49" s="249"/>
      <c r="F49" s="246"/>
      <c r="G49" s="215"/>
      <c r="H49" s="250"/>
      <c r="I49" s="215"/>
      <c r="J49" s="215"/>
      <c r="K49" s="250"/>
      <c r="N49" t="s">
        <v>258</v>
      </c>
    </row>
    <row r="50" spans="2:14">
      <c r="B50" s="252"/>
      <c r="C50" s="251"/>
      <c r="D50" s="249"/>
      <c r="E50" s="249"/>
      <c r="F50" s="246"/>
      <c r="G50" s="215"/>
      <c r="H50" s="250"/>
      <c r="I50" s="215"/>
      <c r="J50" s="215"/>
      <c r="K50" s="215"/>
    </row>
  </sheetData>
  <mergeCells count="34">
    <mergeCell ref="B38:K38"/>
    <mergeCell ref="B41:K41"/>
    <mergeCell ref="B43:E43"/>
    <mergeCell ref="H43:K43"/>
    <mergeCell ref="B44:E44"/>
    <mergeCell ref="E34:E35"/>
    <mergeCell ref="F34:H34"/>
    <mergeCell ref="I34:I35"/>
    <mergeCell ref="F35:H35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C31:K31"/>
    <mergeCell ref="B33:K33"/>
    <mergeCell ref="B19:I20"/>
    <mergeCell ref="J19:J20"/>
    <mergeCell ref="K19:K20"/>
    <mergeCell ref="B1:K1"/>
    <mergeCell ref="B2:K2"/>
    <mergeCell ref="B3:K3"/>
    <mergeCell ref="B4:K4"/>
    <mergeCell ref="B10:I10"/>
    <mergeCell ref="J10:K10"/>
    <mergeCell ref="B11:I11"/>
    <mergeCell ref="J11:K11"/>
    <mergeCell ref="B14:K14"/>
    <mergeCell ref="B16:K16"/>
    <mergeCell ref="B17:K17"/>
  </mergeCells>
  <dataValidations disablePrompts="1" count="1">
    <dataValidation type="list" allowBlank="1" showInputMessage="1" showErrorMessage="1" promptTitle="Tipo de obra" prompt="Selecione o tipo de obra a ser construído" sqref="B17:K17">
      <formula1>tipoobra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73" orientation="portrait" r:id="rId1"/>
  <headerFooter>
    <oddFooter>&amp;R&amp;P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2"/>
  <dimension ref="A1:E14"/>
  <sheetViews>
    <sheetView view="pageBreakPreview" zoomScaleSheetLayoutView="100" workbookViewId="0">
      <selection activeCell="B4" sqref="A1:D4"/>
    </sheetView>
  </sheetViews>
  <sheetFormatPr defaultRowHeight="15"/>
  <cols>
    <col min="1" max="1" width="43.42578125" bestFit="1" customWidth="1"/>
    <col min="2" max="2" width="5.28515625" style="34" customWidth="1"/>
    <col min="3" max="3" width="10.7109375" bestFit="1" customWidth="1"/>
    <col min="4" max="4" width="68.85546875" customWidth="1"/>
    <col min="5" max="5" width="46.7109375" customWidth="1"/>
    <col min="6" max="6" width="31.140625" bestFit="1" customWidth="1"/>
  </cols>
  <sheetData>
    <row r="1" spans="1:5" ht="15.75" thickBot="1">
      <c r="A1" s="352" t="s">
        <v>62</v>
      </c>
      <c r="B1" s="400"/>
      <c r="C1" s="400"/>
      <c r="D1" s="353"/>
    </row>
    <row r="2" spans="1:5">
      <c r="A2" s="110" t="s">
        <v>50</v>
      </c>
      <c r="B2" s="402" t="s">
        <v>48</v>
      </c>
      <c r="C2" s="402"/>
      <c r="D2" s="403"/>
    </row>
    <row r="3" spans="1:5">
      <c r="A3" s="107" t="s">
        <v>49</v>
      </c>
      <c r="B3" s="404" t="s">
        <v>264</v>
      </c>
      <c r="C3" s="404"/>
      <c r="D3" s="405"/>
    </row>
    <row r="4" spans="1:5" ht="15.75" thickBot="1">
      <c r="A4" s="109" t="s">
        <v>51</v>
      </c>
      <c r="B4" s="406">
        <v>0.20180000000000001</v>
      </c>
      <c r="C4" s="406"/>
      <c r="D4" s="407"/>
      <c r="E4" t="s">
        <v>265</v>
      </c>
    </row>
    <row r="5" spans="1:5" ht="15.75" thickBot="1">
      <c r="A5" s="401"/>
      <c r="B5" s="401"/>
      <c r="C5" s="401"/>
      <c r="D5" s="401"/>
      <c r="E5" t="s">
        <v>825</v>
      </c>
    </row>
    <row r="6" spans="1:5" ht="15.75" thickBot="1">
      <c r="A6" s="352" t="s">
        <v>60</v>
      </c>
      <c r="B6" s="400"/>
      <c r="C6" s="400"/>
      <c r="D6" s="400"/>
      <c r="E6" s="353"/>
    </row>
    <row r="7" spans="1:5">
      <c r="A7" s="126" t="s">
        <v>56</v>
      </c>
      <c r="B7" s="127" t="s">
        <v>63</v>
      </c>
      <c r="C7" s="128" t="s">
        <v>16</v>
      </c>
      <c r="D7" s="128" t="s">
        <v>55</v>
      </c>
      <c r="E7" s="129" t="s">
        <v>58</v>
      </c>
    </row>
    <row r="8" spans="1:5">
      <c r="A8" s="107" t="s">
        <v>53</v>
      </c>
      <c r="B8" s="159"/>
      <c r="C8" s="160" t="s">
        <v>815</v>
      </c>
      <c r="D8" s="161"/>
      <c r="E8" s="162"/>
    </row>
    <row r="9" spans="1:5">
      <c r="A9" s="107" t="s">
        <v>54</v>
      </c>
      <c r="B9" s="159"/>
      <c r="C9" s="160" t="s">
        <v>815</v>
      </c>
      <c r="D9" s="161"/>
      <c r="E9" s="162"/>
    </row>
    <row r="10" spans="1:5">
      <c r="A10" s="106" t="s">
        <v>59</v>
      </c>
      <c r="B10" s="163"/>
      <c r="C10" s="160" t="s">
        <v>437</v>
      </c>
      <c r="D10" s="164"/>
      <c r="E10" s="162"/>
    </row>
    <row r="11" spans="1:5">
      <c r="A11" s="106" t="s">
        <v>64</v>
      </c>
      <c r="B11" s="163"/>
      <c r="C11" s="160" t="s">
        <v>437</v>
      </c>
      <c r="D11" s="164"/>
      <c r="E11" s="162"/>
    </row>
    <row r="12" spans="1:5">
      <c r="A12" s="106" t="s">
        <v>813</v>
      </c>
      <c r="B12" s="163"/>
      <c r="C12" s="160" t="s">
        <v>812</v>
      </c>
      <c r="D12" s="164"/>
      <c r="E12" s="162"/>
    </row>
    <row r="13" spans="1:5" ht="15.75" thickBot="1">
      <c r="A13" s="108" t="s">
        <v>814</v>
      </c>
      <c r="B13" s="165"/>
      <c r="C13" s="160" t="s">
        <v>812</v>
      </c>
      <c r="D13" s="166"/>
      <c r="E13" s="167"/>
    </row>
    <row r="14" spans="1:5">
      <c r="D14" s="43"/>
    </row>
  </sheetData>
  <mergeCells count="6">
    <mergeCell ref="A1:D1"/>
    <mergeCell ref="A6:E6"/>
    <mergeCell ref="A5:D5"/>
    <mergeCell ref="B2:D2"/>
    <mergeCell ref="B3:D3"/>
    <mergeCell ref="B4:D4"/>
  </mergeCells>
  <dataValidations count="2">
    <dataValidation type="list" showInputMessage="1" showErrorMessage="1" sqref="B2">
      <formula1>"EMPREITADA POR PREÇO GLOBAL,EMPREITADA POR PREÇO UNITÁRIO"</formula1>
    </dataValidation>
    <dataValidation type="list" showInputMessage="1" showErrorMessage="1" sqref="B3">
      <formula1>"DESONERADO,NÃO DESONERADO"</formula1>
    </dataValidation>
  </dataValidations>
  <pageMargins left="0.511811024" right="0.511811024" top="0.78740157499999996" bottom="0.78740157499999996" header="0.31496062000000002" footer="0.31496062000000002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3">
    <pageSetUpPr fitToPage="1"/>
  </sheetPr>
  <dimension ref="A1:U585"/>
  <sheetViews>
    <sheetView showZeros="0" tabSelected="1" view="pageBreakPreview" topLeftCell="A2" zoomScaleNormal="85" zoomScaleSheetLayoutView="100" workbookViewId="0">
      <pane ySplit="11" topLeftCell="A13" activePane="bottomLeft" state="frozen"/>
      <selection activeCell="A2" sqref="A2"/>
      <selection pane="bottomLeft" activeCell="C169" sqref="C169"/>
    </sheetView>
  </sheetViews>
  <sheetFormatPr defaultRowHeight="12.75"/>
  <cols>
    <col min="1" max="1" width="2.85546875" style="6" customWidth="1"/>
    <col min="2" max="2" width="11" style="120" customWidth="1"/>
    <col min="3" max="3" width="54.140625" style="6" customWidth="1"/>
    <col min="4" max="4" width="11.85546875" style="6" customWidth="1"/>
    <col min="5" max="5" width="10.5703125" style="36" bestFit="1" customWidth="1"/>
    <col min="6" max="6" width="7.28515625" style="39" bestFit="1" customWidth="1"/>
    <col min="7" max="7" width="11.28515625" style="6" customWidth="1"/>
    <col min="8" max="8" width="12.42578125" style="45" bestFit="1" customWidth="1"/>
    <col min="9" max="9" width="14" style="10" customWidth="1"/>
    <col min="10" max="10" width="15.85546875" style="10" bestFit="1" customWidth="1"/>
    <col min="11" max="11" width="7.7109375" style="95" hidden="1" customWidth="1"/>
    <col min="12" max="12" width="8.140625" style="96" hidden="1" customWidth="1"/>
    <col min="13" max="13" width="7.28515625" style="96" hidden="1" customWidth="1"/>
    <col min="14" max="14" width="6.7109375" style="48" hidden="1" customWidth="1"/>
    <col min="15" max="15" width="9.140625" style="98"/>
    <col min="16" max="16" width="13.5703125" style="6" bestFit="1" customWidth="1"/>
    <col min="17" max="20" width="9.140625" style="6"/>
    <col min="21" max="22" width="9.140625" style="6" customWidth="1"/>
    <col min="23" max="16384" width="9.140625" style="6"/>
  </cols>
  <sheetData>
    <row r="1" spans="1:20" ht="13.5" thickBot="1">
      <c r="B1" s="408"/>
      <c r="C1" s="408"/>
      <c r="D1" s="408"/>
      <c r="E1" s="408"/>
      <c r="F1" s="408"/>
      <c r="G1" s="408"/>
      <c r="H1" s="408"/>
      <c r="I1" s="408"/>
      <c r="J1" s="408"/>
    </row>
    <row r="2" spans="1:20">
      <c r="H2" s="413" t="s">
        <v>66</v>
      </c>
      <c r="I2" s="112" t="s">
        <v>71</v>
      </c>
      <c r="J2" s="339">
        <f>DADOS!B9</f>
        <v>0</v>
      </c>
      <c r="K2" s="48"/>
    </row>
    <row r="3" spans="1:20">
      <c r="H3" s="414"/>
      <c r="I3" s="113" t="s">
        <v>72</v>
      </c>
      <c r="J3" s="340">
        <f>REVISÃO</f>
        <v>0</v>
      </c>
      <c r="K3" s="48"/>
    </row>
    <row r="4" spans="1:20" ht="13.5" thickBot="1">
      <c r="H4" s="415"/>
      <c r="I4" s="122" t="s">
        <v>73</v>
      </c>
      <c r="J4" s="341">
        <f>REFERÊNCIA_CAD</f>
        <v>0</v>
      </c>
      <c r="K4" s="48"/>
    </row>
    <row r="5" spans="1:20" ht="13.5" thickBot="1">
      <c r="K5" s="48"/>
      <c r="R5" s="44"/>
      <c r="S5" s="44"/>
      <c r="T5" s="44"/>
    </row>
    <row r="6" spans="1:20" ht="15.75">
      <c r="B6" s="416" t="s">
        <v>13</v>
      </c>
      <c r="C6" s="416"/>
      <c r="D6" s="416"/>
      <c r="E6" s="416"/>
      <c r="F6" s="416"/>
      <c r="G6" s="416"/>
      <c r="H6" s="411" t="s">
        <v>57</v>
      </c>
      <c r="I6" s="112" t="s">
        <v>826</v>
      </c>
      <c r="J6" s="114" t="str">
        <f>REFERÊNCIAS!$B$3</f>
        <v>NÃO DESONERADO</v>
      </c>
      <c r="K6" s="48"/>
      <c r="R6" s="44"/>
      <c r="S6" s="348"/>
      <c r="T6" s="44"/>
    </row>
    <row r="7" spans="1:20">
      <c r="B7" s="409" t="str">
        <f>OBJETO</f>
        <v>Construção de Piscina, Banheiros e Sauna no Centro de Lazer</v>
      </c>
      <c r="C7" s="409"/>
      <c r="D7" s="409"/>
      <c r="E7" s="409"/>
      <c r="F7" s="409"/>
      <c r="G7" s="409"/>
      <c r="H7" s="412"/>
      <c r="I7" s="113" t="s">
        <v>827</v>
      </c>
      <c r="J7" s="115" t="str">
        <f>REFERÊNCIAS!$B$3</f>
        <v>NÃO DESONERADO</v>
      </c>
      <c r="K7" s="48"/>
      <c r="R7" s="44"/>
      <c r="S7" s="348"/>
      <c r="T7" s="44"/>
    </row>
    <row r="8" spans="1:20">
      <c r="B8" s="409" t="str">
        <f>LOCAL</f>
        <v>R. Dr. José Luís Cembraneli, 511 - Vila Olimpya, Cordeirópolis - SP, 13491-122</v>
      </c>
      <c r="C8" s="409"/>
      <c r="D8" s="409"/>
      <c r="E8" s="409"/>
      <c r="F8" s="409"/>
      <c r="G8" s="409"/>
      <c r="H8" s="412"/>
      <c r="I8" s="343" t="s">
        <v>828</v>
      </c>
      <c r="J8" s="115" t="str">
        <f>REFERÊNCIAS!$B$3</f>
        <v>NÃO DESONERADO</v>
      </c>
      <c r="K8" s="48"/>
      <c r="R8" s="44"/>
      <c r="S8" s="348"/>
      <c r="T8" s="44"/>
    </row>
    <row r="9" spans="1:20" ht="13.5" thickBot="1">
      <c r="B9" s="410"/>
      <c r="C9" s="410"/>
      <c r="D9" s="410"/>
      <c r="E9" s="410"/>
      <c r="F9" s="410"/>
      <c r="G9" s="410"/>
      <c r="H9" s="344" t="s">
        <v>315</v>
      </c>
      <c r="I9" s="346">
        <v>0.20180000000000001</v>
      </c>
      <c r="J9" s="347"/>
      <c r="K9" s="48"/>
      <c r="R9" s="44"/>
      <c r="S9" s="44"/>
      <c r="T9" s="44"/>
    </row>
    <row r="10" spans="1:20" ht="15">
      <c r="B10" s="255"/>
      <c r="C10"/>
      <c r="D10" s="255"/>
      <c r="E10" s="255"/>
      <c r="F10" s="255"/>
      <c r="G10" s="255"/>
      <c r="H10" s="345"/>
      <c r="I10" s="342"/>
      <c r="J10" s="6"/>
      <c r="K10" s="48"/>
      <c r="R10" s="44"/>
      <c r="S10" s="44"/>
      <c r="T10" s="44"/>
    </row>
    <row r="11" spans="1:20">
      <c r="C11" s="5"/>
      <c r="D11" s="5"/>
      <c r="E11" s="37"/>
      <c r="F11" s="40"/>
      <c r="G11" s="5"/>
      <c r="H11" s="6"/>
      <c r="I11" s="6"/>
      <c r="J11" s="6"/>
      <c r="K11" s="96" t="s">
        <v>44</v>
      </c>
      <c r="L11" s="96" t="s">
        <v>45</v>
      </c>
      <c r="M11" s="48" t="s">
        <v>52</v>
      </c>
      <c r="N11" s="6"/>
    </row>
    <row r="12" spans="1:20" s="98" customFormat="1" ht="27" customHeight="1">
      <c r="A12" s="48"/>
      <c r="B12" s="121" t="s">
        <v>0</v>
      </c>
      <c r="C12" s="134" t="s">
        <v>1</v>
      </c>
      <c r="D12" s="135" t="s">
        <v>41</v>
      </c>
      <c r="E12" s="136" t="s">
        <v>2</v>
      </c>
      <c r="F12" s="137" t="s">
        <v>25</v>
      </c>
      <c r="G12" s="136" t="s">
        <v>382</v>
      </c>
      <c r="H12" s="138" t="s">
        <v>383</v>
      </c>
      <c r="I12" s="138" t="s">
        <v>384</v>
      </c>
      <c r="J12" s="138" t="s">
        <v>385</v>
      </c>
      <c r="K12" s="49">
        <f ca="1">IF(D12="SINAPI",OFFSET(INDIRECT("'["&amp;CUSTOS_ANALITICO&amp;"]"&amp;PLAN_COMP_SINAPI&amp;"'!$a$1"),$J12-1,19),IF(D12="COMPOSIÇÃO",OFFSET(INDIRECT("'Composições'!$a$1"),$J12-1,9),0))</f>
        <v>0</v>
      </c>
      <c r="L12" s="48" t="str">
        <f>MID(B12,1,IFERROR(FIND(".",B12)-1,0))</f>
        <v/>
      </c>
    </row>
    <row r="13" spans="1:20" s="98" customFormat="1" ht="15">
      <c r="A13"/>
      <c r="B13" s="116">
        <v>1</v>
      </c>
      <c r="C13" s="130" t="s">
        <v>140</v>
      </c>
      <c r="D13" s="131"/>
      <c r="E13" s="168"/>
      <c r="F13" s="132"/>
      <c r="G13" s="133"/>
      <c r="H13" s="262"/>
      <c r="I13" s="262"/>
      <c r="J13" s="262"/>
      <c r="K13" s="49" t="e">
        <f ca="1">IF(#REF!="SINAPI",OFFSET(INDIRECT("'["&amp;CUSTOS_ANALITICO&amp;"]"&amp;PLAN_COMP_SINAPI&amp;"'!$a$1"),#REF!-1,19),IF(#REF!="COMPOSIÇÃO",OFFSET(INDIRECT("'Composições'!$a$1"),#REF!-1,9),0))</f>
        <v>#REF!</v>
      </c>
      <c r="L13" s="48" t="e">
        <f>MID(#REF!,1,IFERROR(FIND(".",#REF!)-1,0))</f>
        <v>#REF!</v>
      </c>
      <c r="O13" s="260"/>
    </row>
    <row r="14" spans="1:20" s="98" customFormat="1" ht="15">
      <c r="A14"/>
      <c r="B14" s="116" t="s">
        <v>137</v>
      </c>
      <c r="C14" s="130" t="s">
        <v>388</v>
      </c>
      <c r="D14" s="131" t="s">
        <v>811</v>
      </c>
      <c r="E14" s="168" t="s">
        <v>280</v>
      </c>
      <c r="F14" s="132" t="s">
        <v>136</v>
      </c>
      <c r="G14" s="133">
        <v>6</v>
      </c>
      <c r="H14" s="262">
        <v>631.73</v>
      </c>
      <c r="I14" s="262">
        <f>H14+H14*$I$9</f>
        <v>759.21311400000002</v>
      </c>
      <c r="J14" s="262">
        <f>I14*G14</f>
        <v>4555.2786839999999</v>
      </c>
      <c r="K14" s="49" t="e">
        <f ca="1">IF(#REF!="SINAPI",OFFSET(INDIRECT("'["&amp;CUSTOS_ANALITICO&amp;"]"&amp;PLAN_COMP_SINAPI&amp;"'!$a$1"),#REF!-1,19),IF(#REF!="COMPOSIÇÃO",OFFSET(INDIRECT("'Composições'!$a$1"),#REF!-1,9),0))</f>
        <v>#REF!</v>
      </c>
      <c r="L14" s="48" t="e">
        <f>MID(#REF!,1,IFERROR(FIND(".",#REF!)-1,0))</f>
        <v>#REF!</v>
      </c>
      <c r="O14" s="260"/>
    </row>
    <row r="15" spans="1:20" s="98" customFormat="1" ht="15">
      <c r="A15"/>
      <c r="B15" s="318"/>
      <c r="C15" s="318" t="s">
        <v>390</v>
      </c>
      <c r="D15" s="318"/>
      <c r="E15" s="318"/>
      <c r="F15" s="318"/>
      <c r="G15" s="318"/>
      <c r="H15" s="319"/>
      <c r="I15" s="277" t="s">
        <v>4</v>
      </c>
      <c r="J15" s="278">
        <f>SUM(J14:J14)</f>
        <v>4555.2786839999999</v>
      </c>
      <c r="K1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5" s="48" t="e">
        <f>MID(#REF!,1,IFERROR(FIND(".",#REF!)-1,0))</f>
        <v>#REF!</v>
      </c>
      <c r="O15" s="260"/>
    </row>
    <row r="16" spans="1:20" s="98" customFormat="1" ht="15">
      <c r="A16"/>
      <c r="B16" s="116">
        <v>2</v>
      </c>
      <c r="C16" s="130" t="s">
        <v>444</v>
      </c>
      <c r="D16" s="131"/>
      <c r="E16" s="168"/>
      <c r="F16" s="132"/>
      <c r="G16" s="133"/>
      <c r="H16" s="262"/>
      <c r="I16" s="262"/>
      <c r="J16" s="262"/>
      <c r="K1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6" s="48" t="e">
        <f>MID(#REF!,1,IFERROR(FIND(".",#REF!)-1,0))</f>
        <v>#REF!</v>
      </c>
      <c r="O16" s="260"/>
    </row>
    <row r="17" spans="1:15" s="98" customFormat="1" ht="25.5">
      <c r="A17"/>
      <c r="B17" s="116" t="s">
        <v>141</v>
      </c>
      <c r="C17" s="130" t="s">
        <v>391</v>
      </c>
      <c r="D17" s="131" t="s">
        <v>811</v>
      </c>
      <c r="E17" s="168" t="s">
        <v>314</v>
      </c>
      <c r="F17" s="132" t="s">
        <v>133</v>
      </c>
      <c r="G17" s="133">
        <v>223.78</v>
      </c>
      <c r="H17" s="262">
        <v>474</v>
      </c>
      <c r="I17" s="262">
        <f>H17+H17*$I$9</f>
        <v>569.65319999999997</v>
      </c>
      <c r="J17" s="262">
        <f>I17*G17</f>
        <v>127476.99309599999</v>
      </c>
      <c r="K1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7" s="48" t="e">
        <f>MID(#REF!,1,IFERROR(FIND(".",#REF!)-1,0))</f>
        <v>#REF!</v>
      </c>
      <c r="O17" s="260"/>
    </row>
    <row r="18" spans="1:15" s="98" customFormat="1" ht="25.5">
      <c r="A18"/>
      <c r="B18" s="116" t="s">
        <v>142</v>
      </c>
      <c r="C18" s="130" t="s">
        <v>754</v>
      </c>
      <c r="D18" s="131" t="s">
        <v>811</v>
      </c>
      <c r="E18" s="168" t="s">
        <v>445</v>
      </c>
      <c r="F18" s="132" t="s">
        <v>136</v>
      </c>
      <c r="G18" s="133">
        <v>559.44000000000005</v>
      </c>
      <c r="H18" s="262">
        <v>10.050000000000001</v>
      </c>
      <c r="I18" s="262">
        <f t="shared" ref="I18:I21" si="0">H18+H18*$I$9</f>
        <v>12.078090000000001</v>
      </c>
      <c r="J18" s="262">
        <f t="shared" ref="J18:J21" si="1">I18*G18</f>
        <v>6756.9666696000013</v>
      </c>
      <c r="K18" s="49" t="e">
        <f ca="1">IF(#REF!="SINAPI",OFFSET(INDIRECT("'["&amp;CUSTOS_ANALITICO&amp;"]"&amp;PLAN_COMP_SINAPI&amp;"'!$a$1"),#REF!-1,19),IF(#REF!="COMPOSIÇÃO",OFFSET(INDIRECT("'Composições'!$a$1"),#REF!-1,9),0))</f>
        <v>#REF!</v>
      </c>
      <c r="L18" s="48" t="e">
        <f>MID(#REF!,1,IFERROR(FIND(".",#REF!)-1,0))</f>
        <v>#REF!</v>
      </c>
      <c r="O18" s="260"/>
    </row>
    <row r="19" spans="1:15" s="98" customFormat="1" ht="25.5">
      <c r="A19"/>
      <c r="B19" s="116" t="s">
        <v>267</v>
      </c>
      <c r="C19" s="130" t="s">
        <v>755</v>
      </c>
      <c r="D19" s="131" t="s">
        <v>811</v>
      </c>
      <c r="E19" s="168" t="s">
        <v>446</v>
      </c>
      <c r="F19" s="132" t="s">
        <v>136</v>
      </c>
      <c r="G19" s="133">
        <v>228.17</v>
      </c>
      <c r="H19" s="262">
        <v>21.78</v>
      </c>
      <c r="I19" s="262">
        <f t="shared" si="0"/>
        <v>26.175204000000001</v>
      </c>
      <c r="J19" s="262">
        <f t="shared" si="1"/>
        <v>5972.39629668</v>
      </c>
      <c r="K1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9" s="48" t="e">
        <f>MID(#REF!,1,IFERROR(FIND(".",#REF!)-1,0))</f>
        <v>#REF!</v>
      </c>
      <c r="O19" s="260"/>
    </row>
    <row r="20" spans="1:15" s="98" customFormat="1" ht="25.5">
      <c r="A20"/>
      <c r="B20" s="116" t="s">
        <v>359</v>
      </c>
      <c r="C20" s="130" t="s">
        <v>392</v>
      </c>
      <c r="D20" s="131" t="s">
        <v>811</v>
      </c>
      <c r="E20" s="168" t="s">
        <v>282</v>
      </c>
      <c r="F20" s="132" t="s">
        <v>133</v>
      </c>
      <c r="G20" s="133">
        <v>342.1</v>
      </c>
      <c r="H20" s="262">
        <v>13.47</v>
      </c>
      <c r="I20" s="262">
        <f t="shared" si="0"/>
        <v>16.188245999999999</v>
      </c>
      <c r="J20" s="262">
        <f t="shared" si="1"/>
        <v>5537.9989566000004</v>
      </c>
      <c r="K2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20" s="48" t="e">
        <f>MID(#REF!,1,IFERROR(FIND(".",#REF!)-1,0))</f>
        <v>#REF!</v>
      </c>
      <c r="O20" s="260"/>
    </row>
    <row r="21" spans="1:15" s="98" customFormat="1" ht="25.5">
      <c r="A21"/>
      <c r="B21" s="116" t="s">
        <v>360</v>
      </c>
      <c r="C21" s="130" t="s">
        <v>756</v>
      </c>
      <c r="D21" s="131" t="s">
        <v>811</v>
      </c>
      <c r="E21" s="168" t="s">
        <v>447</v>
      </c>
      <c r="F21" s="132" t="s">
        <v>133</v>
      </c>
      <c r="G21" s="133">
        <v>342.1</v>
      </c>
      <c r="H21" s="262">
        <v>42.95</v>
      </c>
      <c r="I21" s="262">
        <f t="shared" si="0"/>
        <v>51.617310000000003</v>
      </c>
      <c r="J21" s="262">
        <f t="shared" si="1"/>
        <v>17658.281751000002</v>
      </c>
      <c r="K2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21" s="48" t="e">
        <f>MID(#REF!,1,IFERROR(FIND(".",#REF!)-1,0))</f>
        <v>#REF!</v>
      </c>
      <c r="O21" s="260"/>
    </row>
    <row r="22" spans="1:15" s="98" customFormat="1" ht="15">
      <c r="A22"/>
      <c r="B22" s="318"/>
      <c r="C22" s="318" t="s">
        <v>390</v>
      </c>
      <c r="D22" s="318"/>
      <c r="E22" s="318"/>
      <c r="F22" s="318"/>
      <c r="G22" s="318"/>
      <c r="H22" s="319"/>
      <c r="I22" s="277" t="s">
        <v>4</v>
      </c>
      <c r="J22" s="278">
        <f>SUM(J17:J21)</f>
        <v>163402.63676987999</v>
      </c>
      <c r="K2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22" s="48" t="e">
        <f>MID(#REF!,1,IFERROR(FIND(".",#REF!)-1,0))</f>
        <v>#REF!</v>
      </c>
      <c r="O22" s="260"/>
    </row>
    <row r="23" spans="1:15" s="98" customFormat="1" ht="15">
      <c r="A23"/>
      <c r="B23" s="116">
        <v>3</v>
      </c>
      <c r="C23" s="130" t="s">
        <v>448</v>
      </c>
      <c r="D23" s="131"/>
      <c r="E23" s="168"/>
      <c r="F23" s="132"/>
      <c r="G23" s="133"/>
      <c r="H23" s="262"/>
      <c r="I23" s="262"/>
      <c r="J23" s="262"/>
      <c r="K2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23" s="48" t="e">
        <f>MID(#REF!,1,IFERROR(FIND(".",#REF!)-1,0))</f>
        <v>#REF!</v>
      </c>
      <c r="O23" s="260"/>
    </row>
    <row r="24" spans="1:15" s="98" customFormat="1" ht="15">
      <c r="A24"/>
      <c r="B24" s="116" t="s">
        <v>144</v>
      </c>
      <c r="C24" s="130" t="s">
        <v>422</v>
      </c>
      <c r="D24" s="131" t="s">
        <v>811</v>
      </c>
      <c r="E24" s="168" t="s">
        <v>284</v>
      </c>
      <c r="F24" s="132" t="s">
        <v>133</v>
      </c>
      <c r="G24" s="133">
        <v>43.92</v>
      </c>
      <c r="H24" s="262">
        <v>411.63</v>
      </c>
      <c r="I24" s="262">
        <f t="shared" ref="I24:I28" si="2">H24+H24*$I$9</f>
        <v>494.696934</v>
      </c>
      <c r="J24" s="262">
        <f t="shared" ref="J24:J28" si="3">I24*G24</f>
        <v>21727.08934128</v>
      </c>
      <c r="K24" s="49" t="e">
        <f ca="1">IF(#REF!="SINAPI",OFFSET(INDIRECT("'["&amp;CUSTOS_ANALITICO&amp;"]"&amp;PLAN_COMP_SINAPI&amp;"'!$a$1"),#REF!-1,19),IF(#REF!="COMPOSIÇÃO",OFFSET(INDIRECT("'Composições'!$a$1"),#REF!-1,9),0))</f>
        <v>#REF!</v>
      </c>
      <c r="L24" s="48" t="e">
        <f>MID(#REF!,1,IFERROR(FIND(".",#REF!)-1,0))</f>
        <v>#REF!</v>
      </c>
      <c r="O24" s="260"/>
    </row>
    <row r="25" spans="1:15" s="98" customFormat="1" ht="25.5">
      <c r="A25"/>
      <c r="B25" s="116" t="s">
        <v>145</v>
      </c>
      <c r="C25" s="130" t="s">
        <v>395</v>
      </c>
      <c r="D25" s="131" t="s">
        <v>811</v>
      </c>
      <c r="E25" s="168" t="s">
        <v>285</v>
      </c>
      <c r="F25" s="132" t="s">
        <v>133</v>
      </c>
      <c r="G25" s="133">
        <v>43.92</v>
      </c>
      <c r="H25" s="262">
        <v>149.41</v>
      </c>
      <c r="I25" s="262">
        <f t="shared" si="2"/>
        <v>179.56093799999999</v>
      </c>
      <c r="J25" s="262">
        <f t="shared" si="3"/>
        <v>7886.31639696</v>
      </c>
      <c r="K2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25" s="48" t="e">
        <f>MID(#REF!,1,IFERROR(FIND(".",#REF!)-1,0))</f>
        <v>#REF!</v>
      </c>
      <c r="O25" s="260"/>
    </row>
    <row r="26" spans="1:15" s="98" customFormat="1" ht="25.5">
      <c r="A26"/>
      <c r="B26" s="116" t="s">
        <v>147</v>
      </c>
      <c r="C26" s="130" t="s">
        <v>757</v>
      </c>
      <c r="D26" s="131" t="s">
        <v>811</v>
      </c>
      <c r="E26" s="168" t="s">
        <v>449</v>
      </c>
      <c r="F26" s="132" t="s">
        <v>136</v>
      </c>
      <c r="G26" s="133">
        <v>128.6</v>
      </c>
      <c r="H26" s="262">
        <v>113.53</v>
      </c>
      <c r="I26" s="262">
        <f t="shared" si="2"/>
        <v>136.44035400000001</v>
      </c>
      <c r="J26" s="262">
        <f t="shared" si="3"/>
        <v>17546.229524400002</v>
      </c>
      <c r="K2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26" s="48" t="e">
        <f>MID(#REF!,1,IFERROR(FIND(".",#REF!)-1,0))</f>
        <v>#REF!</v>
      </c>
      <c r="O26" s="260"/>
    </row>
    <row r="27" spans="1:15" s="98" customFormat="1" ht="15">
      <c r="A27"/>
      <c r="B27" s="116" t="s">
        <v>361</v>
      </c>
      <c r="C27" s="130" t="s">
        <v>394</v>
      </c>
      <c r="D27" s="131" t="s">
        <v>811</v>
      </c>
      <c r="E27" s="168" t="s">
        <v>283</v>
      </c>
      <c r="F27" s="132" t="s">
        <v>132</v>
      </c>
      <c r="G27" s="133">
        <v>7810.96</v>
      </c>
      <c r="H27" s="262">
        <v>11.95</v>
      </c>
      <c r="I27" s="262">
        <f t="shared" si="2"/>
        <v>14.361509999999999</v>
      </c>
      <c r="J27" s="262">
        <f t="shared" si="3"/>
        <v>112177.1801496</v>
      </c>
      <c r="K27" s="49"/>
      <c r="L27" s="48"/>
      <c r="O27" s="260"/>
    </row>
    <row r="28" spans="1:15" s="98" customFormat="1" ht="25.5">
      <c r="A28"/>
      <c r="B28" s="116" t="s">
        <v>450</v>
      </c>
      <c r="C28" s="130" t="s">
        <v>758</v>
      </c>
      <c r="D28" s="131" t="s">
        <v>811</v>
      </c>
      <c r="E28" s="168" t="s">
        <v>451</v>
      </c>
      <c r="F28" s="132" t="s">
        <v>133</v>
      </c>
      <c r="G28" s="133">
        <v>9.6300000000000008</v>
      </c>
      <c r="H28" s="262">
        <v>51.74</v>
      </c>
      <c r="I28" s="262">
        <f t="shared" si="2"/>
        <v>62.181132000000005</v>
      </c>
      <c r="J28" s="262">
        <f t="shared" si="3"/>
        <v>598.80430116000014</v>
      </c>
      <c r="K2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28" s="48" t="e">
        <f>MID(#REF!,1,IFERROR(FIND(".",#REF!)-1,0))</f>
        <v>#REF!</v>
      </c>
      <c r="O28" s="260"/>
    </row>
    <row r="29" spans="1:15" s="98" customFormat="1" ht="15">
      <c r="A29"/>
      <c r="B29" s="318"/>
      <c r="C29" s="318" t="s">
        <v>390</v>
      </c>
      <c r="D29" s="318"/>
      <c r="E29" s="318"/>
      <c r="F29" s="318"/>
      <c r="G29" s="318"/>
      <c r="H29" s="319"/>
      <c r="I29" s="277" t="s">
        <v>4</v>
      </c>
      <c r="J29" s="278">
        <f>SUM(J24:J28)</f>
        <v>159935.6197134</v>
      </c>
      <c r="K2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29" s="48" t="e">
        <f>MID(#REF!,1,IFERROR(FIND(".",#REF!)-1,0))</f>
        <v>#REF!</v>
      </c>
      <c r="O29" s="260"/>
    </row>
    <row r="30" spans="1:15" s="98" customFormat="1" ht="15">
      <c r="A30"/>
      <c r="B30" s="116">
        <v>4</v>
      </c>
      <c r="C30" s="130" t="s">
        <v>452</v>
      </c>
      <c r="D30" s="131"/>
      <c r="E30" s="168"/>
      <c r="F30" s="132"/>
      <c r="G30" s="133"/>
      <c r="H30" s="262"/>
      <c r="I30" s="262"/>
      <c r="J30" s="262"/>
      <c r="K3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30" s="48" t="e">
        <f>MID(#REF!,1,IFERROR(FIND(".",#REF!)-1,0))</f>
        <v>#REF!</v>
      </c>
      <c r="O30" s="260"/>
    </row>
    <row r="31" spans="1:15" s="98" customFormat="1" ht="15">
      <c r="A31"/>
      <c r="B31" s="116" t="s">
        <v>148</v>
      </c>
      <c r="C31" s="130" t="s">
        <v>759</v>
      </c>
      <c r="D31" s="131" t="s">
        <v>811</v>
      </c>
      <c r="E31" s="168" t="s">
        <v>453</v>
      </c>
      <c r="F31" s="132" t="s">
        <v>136</v>
      </c>
      <c r="G31" s="133">
        <v>550</v>
      </c>
      <c r="H31" s="262">
        <v>9.58</v>
      </c>
      <c r="I31" s="262">
        <f>H31+H31*$I$9</f>
        <v>11.513244</v>
      </c>
      <c r="J31" s="262">
        <f t="shared" ref="J31:J35" si="4">I31*G31</f>
        <v>6332.2842000000001</v>
      </c>
      <c r="K3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31" s="48" t="e">
        <f>MID(#REF!,1,IFERROR(FIND(".",#REF!)-1,0))</f>
        <v>#REF!</v>
      </c>
      <c r="O31" s="260"/>
    </row>
    <row r="32" spans="1:15" s="98" customFormat="1" ht="25.5">
      <c r="A32"/>
      <c r="B32" s="116" t="s">
        <v>149</v>
      </c>
      <c r="C32" s="130" t="s">
        <v>404</v>
      </c>
      <c r="D32" s="131" t="s">
        <v>811</v>
      </c>
      <c r="E32" s="168" t="s">
        <v>293</v>
      </c>
      <c r="F32" s="132" t="s">
        <v>133</v>
      </c>
      <c r="G32" s="133">
        <v>20.18</v>
      </c>
      <c r="H32" s="262">
        <v>707.56</v>
      </c>
      <c r="I32" s="262">
        <f>H32+H32*$I$9</f>
        <v>850.34560799999997</v>
      </c>
      <c r="J32" s="262">
        <f t="shared" si="4"/>
        <v>17159.974369439999</v>
      </c>
      <c r="K3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32" s="48" t="e">
        <f>MID(#REF!,1,IFERROR(FIND(".",#REF!)-1,0))</f>
        <v>#REF!</v>
      </c>
      <c r="O32" s="260"/>
    </row>
    <row r="33" spans="1:15" s="98" customFormat="1" ht="25.5">
      <c r="A33"/>
      <c r="B33" s="116" t="s">
        <v>150</v>
      </c>
      <c r="C33" s="130" t="s">
        <v>760</v>
      </c>
      <c r="D33" s="131" t="s">
        <v>811</v>
      </c>
      <c r="E33" s="168" t="s">
        <v>454</v>
      </c>
      <c r="F33" s="132" t="s">
        <v>136</v>
      </c>
      <c r="G33" s="133">
        <v>421.4</v>
      </c>
      <c r="H33" s="262">
        <v>69.44</v>
      </c>
      <c r="I33" s="262">
        <f>H33+H33*$I$9</f>
        <v>83.452991999999995</v>
      </c>
      <c r="J33" s="262">
        <f t="shared" si="4"/>
        <v>35167.090828799999</v>
      </c>
      <c r="K3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33" s="48" t="e">
        <f>MID(#REF!,1,IFERROR(FIND(".",#REF!)-1,0))</f>
        <v>#REF!</v>
      </c>
      <c r="O33" s="260"/>
    </row>
    <row r="34" spans="1:15" s="98" customFormat="1" ht="15">
      <c r="A34"/>
      <c r="B34" s="116" t="s">
        <v>363</v>
      </c>
      <c r="C34" s="130" t="s">
        <v>761</v>
      </c>
      <c r="D34" s="131" t="s">
        <v>811</v>
      </c>
      <c r="E34" s="168" t="s">
        <v>455</v>
      </c>
      <c r="F34" s="132" t="s">
        <v>133</v>
      </c>
      <c r="G34" s="133">
        <v>13.75</v>
      </c>
      <c r="H34" s="262">
        <v>671.08</v>
      </c>
      <c r="I34" s="262">
        <f>H34+H34*$I$9</f>
        <v>806.50394400000005</v>
      </c>
      <c r="J34" s="262">
        <f t="shared" si="4"/>
        <v>11089.429230000002</v>
      </c>
      <c r="K3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34" s="48" t="e">
        <f>MID(#REF!,1,IFERROR(FIND(".",#REF!)-1,0))</f>
        <v>#REF!</v>
      </c>
      <c r="O34" s="260"/>
    </row>
    <row r="35" spans="1:15" s="98" customFormat="1" ht="38.25">
      <c r="A35"/>
      <c r="B35" s="116" t="s">
        <v>456</v>
      </c>
      <c r="C35" s="130" t="s">
        <v>762</v>
      </c>
      <c r="D35" s="131" t="s">
        <v>811</v>
      </c>
      <c r="E35" s="168" t="s">
        <v>457</v>
      </c>
      <c r="F35" s="132" t="s">
        <v>136</v>
      </c>
      <c r="G35" s="133">
        <v>421.4</v>
      </c>
      <c r="H35" s="262">
        <v>94.56</v>
      </c>
      <c r="I35" s="262">
        <f>H35+H35*$I$9</f>
        <v>113.64220800000001</v>
      </c>
      <c r="J35" s="262">
        <f t="shared" si="4"/>
        <v>47888.826451200002</v>
      </c>
      <c r="K3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35" s="48" t="e">
        <f>MID(#REF!,1,IFERROR(FIND(".",#REF!)-1,0))</f>
        <v>#REF!</v>
      </c>
      <c r="O35" s="260"/>
    </row>
    <row r="36" spans="1:15" s="98" customFormat="1" ht="15">
      <c r="A36"/>
      <c r="B36" s="318"/>
      <c r="C36" s="318" t="s">
        <v>390</v>
      </c>
      <c r="D36" s="318"/>
      <c r="E36" s="318"/>
      <c r="F36" s="318"/>
      <c r="G36" s="318"/>
      <c r="H36" s="319"/>
      <c r="I36" s="277" t="s">
        <v>4</v>
      </c>
      <c r="J36" s="278">
        <f>SUM(J31:J35)</f>
        <v>117637.60507943999</v>
      </c>
      <c r="K3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36" s="48" t="e">
        <f>MID(#REF!,1,IFERROR(FIND(".",#REF!)-1,0))</f>
        <v>#REF!</v>
      </c>
      <c r="O36" s="260"/>
    </row>
    <row r="37" spans="1:15" s="98" customFormat="1" ht="15">
      <c r="A37"/>
      <c r="B37" s="116">
        <v>5</v>
      </c>
      <c r="C37" s="130" t="s">
        <v>458</v>
      </c>
      <c r="D37" s="131"/>
      <c r="E37" s="168"/>
      <c r="F37" s="132"/>
      <c r="G37" s="133"/>
      <c r="H37" s="262"/>
      <c r="I37" s="262"/>
      <c r="J37" s="262"/>
      <c r="K3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37" s="48" t="e">
        <f>MID(#REF!,1,IFERROR(FIND(".",#REF!)-1,0))</f>
        <v>#REF!</v>
      </c>
      <c r="O37" s="260"/>
    </row>
    <row r="38" spans="1:15" s="98" customFormat="1" ht="15">
      <c r="A38"/>
      <c r="B38" s="116" t="s">
        <v>153</v>
      </c>
      <c r="C38" s="130" t="s">
        <v>759</v>
      </c>
      <c r="D38" s="131" t="s">
        <v>811</v>
      </c>
      <c r="E38" s="168" t="s">
        <v>453</v>
      </c>
      <c r="F38" s="132" t="s">
        <v>136</v>
      </c>
      <c r="G38" s="133">
        <v>228.17</v>
      </c>
      <c r="H38" s="262">
        <v>9.58</v>
      </c>
      <c r="I38" s="262">
        <f t="shared" ref="I38:I42" si="5">H38+H38*$I$9</f>
        <v>11.513244</v>
      </c>
      <c r="J38" s="262">
        <f t="shared" ref="J38:J42" si="6">I38*G38</f>
        <v>2626.9768834799997</v>
      </c>
      <c r="K3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38" s="48" t="e">
        <f>MID(#REF!,1,IFERROR(FIND(".",#REF!)-1,0))</f>
        <v>#REF!</v>
      </c>
      <c r="O38" s="260"/>
    </row>
    <row r="39" spans="1:15" s="98" customFormat="1" ht="25.5">
      <c r="A39"/>
      <c r="B39" s="116" t="s">
        <v>459</v>
      </c>
      <c r="C39" s="130" t="s">
        <v>404</v>
      </c>
      <c r="D39" s="131" t="s">
        <v>811</v>
      </c>
      <c r="E39" s="168" t="s">
        <v>293</v>
      </c>
      <c r="F39" s="132" t="s">
        <v>133</v>
      </c>
      <c r="G39" s="133">
        <v>5.7</v>
      </c>
      <c r="H39" s="262">
        <v>707.56</v>
      </c>
      <c r="I39" s="262">
        <f t="shared" si="5"/>
        <v>850.34560799999997</v>
      </c>
      <c r="J39" s="262">
        <f t="shared" si="6"/>
        <v>4846.9699656000003</v>
      </c>
      <c r="K3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39" s="48" t="e">
        <f>MID(#REF!,1,IFERROR(FIND(".",#REF!)-1,0))</f>
        <v>#REF!</v>
      </c>
      <c r="O39" s="260"/>
    </row>
    <row r="40" spans="1:15" s="98" customFormat="1" ht="25.5">
      <c r="A40"/>
      <c r="B40" s="116" t="s">
        <v>460</v>
      </c>
      <c r="C40" s="130" t="s">
        <v>760</v>
      </c>
      <c r="D40" s="131" t="s">
        <v>811</v>
      </c>
      <c r="E40" s="168" t="s">
        <v>454</v>
      </c>
      <c r="F40" s="132" t="s">
        <v>136</v>
      </c>
      <c r="G40" s="133">
        <v>228.17</v>
      </c>
      <c r="H40" s="262">
        <v>69.44</v>
      </c>
      <c r="I40" s="262">
        <f t="shared" si="5"/>
        <v>83.452991999999995</v>
      </c>
      <c r="J40" s="262">
        <f t="shared" si="6"/>
        <v>19041.469184639998</v>
      </c>
      <c r="K4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40" s="48" t="e">
        <f>MID(#REF!,1,IFERROR(FIND(".",#REF!)-1,0))</f>
        <v>#REF!</v>
      </c>
      <c r="O40" s="260"/>
    </row>
    <row r="41" spans="1:15" s="98" customFormat="1" ht="15">
      <c r="A41"/>
      <c r="B41" s="116" t="s">
        <v>461</v>
      </c>
      <c r="C41" s="130" t="s">
        <v>761</v>
      </c>
      <c r="D41" s="131" t="s">
        <v>811</v>
      </c>
      <c r="E41" s="168" t="s">
        <v>455</v>
      </c>
      <c r="F41" s="132" t="s">
        <v>133</v>
      </c>
      <c r="G41" s="133">
        <v>5.7</v>
      </c>
      <c r="H41" s="262">
        <v>671.08</v>
      </c>
      <c r="I41" s="262">
        <f t="shared" si="5"/>
        <v>806.50394400000005</v>
      </c>
      <c r="J41" s="262">
        <f t="shared" si="6"/>
        <v>4597.0724808000004</v>
      </c>
      <c r="K4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41" s="48" t="e">
        <f>MID(#REF!,1,IFERROR(FIND(".",#REF!)-1,0))</f>
        <v>#REF!</v>
      </c>
      <c r="O41" s="260"/>
    </row>
    <row r="42" spans="1:15" s="98" customFormat="1" ht="15">
      <c r="A42"/>
      <c r="B42" s="116" t="s">
        <v>462</v>
      </c>
      <c r="C42" s="130" t="s">
        <v>763</v>
      </c>
      <c r="D42" s="131" t="s">
        <v>811</v>
      </c>
      <c r="E42" s="168" t="s">
        <v>463</v>
      </c>
      <c r="F42" s="132" t="s">
        <v>136</v>
      </c>
      <c r="G42" s="133">
        <v>228.17</v>
      </c>
      <c r="H42" s="262">
        <v>330.6</v>
      </c>
      <c r="I42" s="262">
        <f t="shared" si="5"/>
        <v>397.31508000000002</v>
      </c>
      <c r="J42" s="262">
        <f t="shared" si="6"/>
        <v>90655.381803600001</v>
      </c>
      <c r="K4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42" s="48" t="e">
        <f>MID(#REF!,1,IFERROR(FIND(".",#REF!)-1,0))</f>
        <v>#REF!</v>
      </c>
      <c r="O42" s="260"/>
    </row>
    <row r="43" spans="1:15" s="98" customFormat="1" ht="15">
      <c r="A43"/>
      <c r="B43" s="318"/>
      <c r="C43" s="318" t="s">
        <v>390</v>
      </c>
      <c r="D43" s="131" t="s">
        <v>811</v>
      </c>
      <c r="E43" s="318"/>
      <c r="F43" s="318"/>
      <c r="G43" s="318"/>
      <c r="H43" s="319"/>
      <c r="I43" s="277" t="s">
        <v>4</v>
      </c>
      <c r="J43" s="278">
        <f>SUM(J38:J42)</f>
        <v>121767.87031812</v>
      </c>
      <c r="K4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43" s="48" t="e">
        <f>MID(#REF!,1,IFERROR(FIND(".",#REF!)-1,0))</f>
        <v>#REF!</v>
      </c>
      <c r="O43" s="260"/>
    </row>
    <row r="44" spans="1:15" s="98" customFormat="1" ht="15">
      <c r="A44"/>
      <c r="B44" s="116">
        <v>6</v>
      </c>
      <c r="C44" s="130" t="s">
        <v>464</v>
      </c>
      <c r="D44" s="131" t="s">
        <v>811</v>
      </c>
      <c r="E44" s="168"/>
      <c r="F44" s="132"/>
      <c r="G44" s="133"/>
      <c r="H44" s="262"/>
      <c r="I44" s="262"/>
      <c r="J44" s="262"/>
      <c r="K4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44" s="48" t="e">
        <f>MID(#REF!,1,IFERROR(FIND(".",#REF!)-1,0))</f>
        <v>#REF!</v>
      </c>
      <c r="O44" s="260"/>
    </row>
    <row r="45" spans="1:15" s="98" customFormat="1" ht="25.5">
      <c r="A45"/>
      <c r="B45" s="116" t="s">
        <v>155</v>
      </c>
      <c r="C45" s="130" t="s">
        <v>389</v>
      </c>
      <c r="D45" s="131" t="s">
        <v>811</v>
      </c>
      <c r="E45" s="168" t="s">
        <v>357</v>
      </c>
      <c r="F45" s="132" t="s">
        <v>358</v>
      </c>
      <c r="G45" s="133">
        <v>1</v>
      </c>
      <c r="H45" s="262">
        <v>1083.42</v>
      </c>
      <c r="I45" s="262">
        <f t="shared" ref="I45:I48" si="7">H45+H45*$I$9</f>
        <v>1302.0541560000001</v>
      </c>
      <c r="J45" s="262">
        <f t="shared" ref="J45:J48" si="8">I45*G45</f>
        <v>1302.0541560000001</v>
      </c>
      <c r="K4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45" s="48" t="e">
        <f>MID(#REF!,1,IFERROR(FIND(".",#REF!)-1,0))</f>
        <v>#REF!</v>
      </c>
      <c r="O45" s="260"/>
    </row>
    <row r="46" spans="1:15" s="98" customFormat="1" ht="15">
      <c r="A46"/>
      <c r="B46" s="116" t="s">
        <v>156</v>
      </c>
      <c r="C46" s="130" t="s">
        <v>764</v>
      </c>
      <c r="D46" s="131" t="s">
        <v>811</v>
      </c>
      <c r="E46" s="168" t="s">
        <v>465</v>
      </c>
      <c r="F46" s="132" t="s">
        <v>115</v>
      </c>
      <c r="G46" s="133">
        <v>20</v>
      </c>
      <c r="H46" s="262">
        <v>80.55</v>
      </c>
      <c r="I46" s="262">
        <f t="shared" si="7"/>
        <v>96.804990000000004</v>
      </c>
      <c r="J46" s="262">
        <f t="shared" si="8"/>
        <v>1936.0998</v>
      </c>
      <c r="K4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46" s="48" t="e">
        <f>MID(#REF!,1,IFERROR(FIND(".",#REF!)-1,0))</f>
        <v>#REF!</v>
      </c>
      <c r="O46" s="260"/>
    </row>
    <row r="47" spans="1:15" s="98" customFormat="1" ht="15">
      <c r="A47"/>
      <c r="B47" s="116" t="s">
        <v>157</v>
      </c>
      <c r="C47" s="130" t="s">
        <v>765</v>
      </c>
      <c r="D47" s="131" t="s">
        <v>811</v>
      </c>
      <c r="E47" s="168" t="s">
        <v>466</v>
      </c>
      <c r="F47" s="132" t="s">
        <v>115</v>
      </c>
      <c r="G47" s="133">
        <v>160</v>
      </c>
      <c r="H47" s="262">
        <v>44.4</v>
      </c>
      <c r="I47" s="262">
        <f t="shared" si="7"/>
        <v>53.359920000000002</v>
      </c>
      <c r="J47" s="262">
        <f t="shared" si="8"/>
        <v>8537.5871999999999</v>
      </c>
      <c r="K4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47" s="48" t="e">
        <f>MID(#REF!,1,IFERROR(FIND(".",#REF!)-1,0))</f>
        <v>#REF!</v>
      </c>
      <c r="O47" s="260"/>
    </row>
    <row r="48" spans="1:15" s="98" customFormat="1" ht="25.5">
      <c r="A48"/>
      <c r="B48" s="116" t="s">
        <v>467</v>
      </c>
      <c r="C48" s="130" t="s">
        <v>766</v>
      </c>
      <c r="D48" s="131" t="s">
        <v>811</v>
      </c>
      <c r="E48" s="168" t="s">
        <v>468</v>
      </c>
      <c r="F48" s="132" t="s">
        <v>358</v>
      </c>
      <c r="G48" s="133">
        <v>1</v>
      </c>
      <c r="H48" s="262">
        <v>1723.3</v>
      </c>
      <c r="I48" s="262">
        <f t="shared" si="7"/>
        <v>2071.06194</v>
      </c>
      <c r="J48" s="262">
        <f t="shared" si="8"/>
        <v>2071.06194</v>
      </c>
      <c r="K4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48" s="48" t="e">
        <f>MID(#REF!,1,IFERROR(FIND(".",#REF!)-1,0))</f>
        <v>#REF!</v>
      </c>
      <c r="O48" s="260"/>
    </row>
    <row r="49" spans="1:15" s="98" customFormat="1" ht="15">
      <c r="A49"/>
      <c r="B49" s="318"/>
      <c r="C49" s="318" t="s">
        <v>390</v>
      </c>
      <c r="D49" s="131" t="s">
        <v>811</v>
      </c>
      <c r="E49" s="318"/>
      <c r="F49" s="318"/>
      <c r="G49" s="318"/>
      <c r="H49" s="319"/>
      <c r="I49" s="277" t="s">
        <v>4</v>
      </c>
      <c r="J49" s="278">
        <f>SUM(J45:J48)</f>
        <v>13846.803096</v>
      </c>
      <c r="K4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49" s="48" t="e">
        <f>MID(#REF!,1,IFERROR(FIND(".",#REF!)-1,0))</f>
        <v>#REF!</v>
      </c>
      <c r="O49" s="260"/>
    </row>
    <row r="50" spans="1:15" s="98" customFormat="1" ht="15">
      <c r="A50"/>
      <c r="B50" s="116">
        <v>7</v>
      </c>
      <c r="C50" s="130" t="s">
        <v>469</v>
      </c>
      <c r="D50" s="131" t="s">
        <v>811</v>
      </c>
      <c r="E50" s="168"/>
      <c r="F50" s="132"/>
      <c r="G50" s="133"/>
      <c r="H50" s="262"/>
      <c r="I50" s="262"/>
      <c r="J50" s="262"/>
      <c r="K5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50" s="48" t="e">
        <f>MID(#REF!,1,IFERROR(FIND(".",#REF!)-1,0))</f>
        <v>#REF!</v>
      </c>
      <c r="O50" s="260"/>
    </row>
    <row r="51" spans="1:15" s="98" customFormat="1" ht="25.5">
      <c r="A51"/>
      <c r="B51" s="116" t="s">
        <v>159</v>
      </c>
      <c r="C51" s="130" t="s">
        <v>767</v>
      </c>
      <c r="D51" s="131" t="s">
        <v>811</v>
      </c>
      <c r="E51" s="168" t="s">
        <v>470</v>
      </c>
      <c r="F51" s="132" t="s">
        <v>133</v>
      </c>
      <c r="G51" s="133">
        <v>23.64</v>
      </c>
      <c r="H51" s="262">
        <v>64.989999999999995</v>
      </c>
      <c r="I51" s="262">
        <f t="shared" ref="I51:I59" si="9">H51+H51*$I$9</f>
        <v>78.104981999999993</v>
      </c>
      <c r="J51" s="262">
        <f t="shared" ref="J51:J59" si="10">I51*G51</f>
        <v>1846.4017744799999</v>
      </c>
      <c r="K51" s="49"/>
      <c r="L51" s="48"/>
      <c r="O51" s="261"/>
    </row>
    <row r="52" spans="1:15" s="98" customFormat="1" ht="15">
      <c r="A52"/>
      <c r="B52" s="116" t="s">
        <v>160</v>
      </c>
      <c r="C52" s="130" t="s">
        <v>768</v>
      </c>
      <c r="D52" s="131" t="s">
        <v>811</v>
      </c>
      <c r="E52" s="168" t="s">
        <v>471</v>
      </c>
      <c r="F52" s="132" t="s">
        <v>136</v>
      </c>
      <c r="G52" s="133">
        <v>55.69</v>
      </c>
      <c r="H52" s="262">
        <v>165.87</v>
      </c>
      <c r="I52" s="262">
        <f t="shared" si="9"/>
        <v>199.34256600000001</v>
      </c>
      <c r="J52" s="262">
        <f t="shared" si="10"/>
        <v>11101.38750054</v>
      </c>
      <c r="K5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52" s="48" t="e">
        <f>MID(#REF!,1,IFERROR(FIND(".",#REF!)-1,0))</f>
        <v>#REF!</v>
      </c>
      <c r="O52" s="260"/>
    </row>
    <row r="53" spans="1:15" s="98" customFormat="1" ht="15">
      <c r="A53"/>
      <c r="B53" s="116" t="s">
        <v>472</v>
      </c>
      <c r="C53" s="130" t="s">
        <v>394</v>
      </c>
      <c r="D53" s="131" t="s">
        <v>811</v>
      </c>
      <c r="E53" s="168" t="s">
        <v>283</v>
      </c>
      <c r="F53" s="132" t="s">
        <v>132</v>
      </c>
      <c r="G53" s="133">
        <v>611.9</v>
      </c>
      <c r="H53" s="262">
        <v>11.95</v>
      </c>
      <c r="I53" s="262">
        <f t="shared" si="9"/>
        <v>14.361509999999999</v>
      </c>
      <c r="J53" s="262">
        <f t="shared" si="10"/>
        <v>8787.8079689999995</v>
      </c>
      <c r="K5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53" s="48" t="e">
        <f>MID(#REF!,1,IFERROR(FIND(".",#REF!)-1,0))</f>
        <v>#REF!</v>
      </c>
      <c r="O53" s="260"/>
    </row>
    <row r="54" spans="1:15" s="98" customFormat="1" ht="15">
      <c r="A54"/>
      <c r="B54" s="116" t="s">
        <v>473</v>
      </c>
      <c r="C54" s="130" t="s">
        <v>769</v>
      </c>
      <c r="D54" s="131" t="s">
        <v>811</v>
      </c>
      <c r="E54" s="168" t="s">
        <v>474</v>
      </c>
      <c r="F54" s="132" t="s">
        <v>132</v>
      </c>
      <c r="G54" s="133">
        <v>86.9</v>
      </c>
      <c r="H54" s="262">
        <v>15.24</v>
      </c>
      <c r="I54" s="262">
        <f t="shared" si="9"/>
        <v>18.315432000000001</v>
      </c>
      <c r="J54" s="262">
        <f t="shared" si="10"/>
        <v>1591.6110408000002</v>
      </c>
      <c r="K5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54" s="48" t="e">
        <f>MID(#REF!,1,IFERROR(FIND(".",#REF!)-1,0))</f>
        <v>#REF!</v>
      </c>
      <c r="O54" s="260"/>
    </row>
    <row r="55" spans="1:15" s="98" customFormat="1" ht="15">
      <c r="A55"/>
      <c r="B55" s="116" t="s">
        <v>475</v>
      </c>
      <c r="C55" s="130" t="s">
        <v>393</v>
      </c>
      <c r="D55" s="131" t="s">
        <v>811</v>
      </c>
      <c r="E55" s="168" t="s">
        <v>291</v>
      </c>
      <c r="F55" s="132" t="s">
        <v>133</v>
      </c>
      <c r="G55" s="133">
        <v>0.86</v>
      </c>
      <c r="H55" s="262">
        <v>135.47999999999999</v>
      </c>
      <c r="I55" s="262">
        <f t="shared" si="9"/>
        <v>162.819864</v>
      </c>
      <c r="J55" s="262">
        <f t="shared" si="10"/>
        <v>140.02508304</v>
      </c>
      <c r="K5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55" s="48" t="e">
        <f>MID(#REF!,1,IFERROR(FIND(".",#REF!)-1,0))</f>
        <v>#REF!</v>
      </c>
      <c r="O55" s="260"/>
    </row>
    <row r="56" spans="1:15" s="98" customFormat="1" ht="15">
      <c r="A56"/>
      <c r="B56" s="116" t="s">
        <v>476</v>
      </c>
      <c r="C56" s="130" t="s">
        <v>422</v>
      </c>
      <c r="D56" s="131" t="s">
        <v>811</v>
      </c>
      <c r="E56" s="168" t="s">
        <v>284</v>
      </c>
      <c r="F56" s="132" t="s">
        <v>133</v>
      </c>
      <c r="G56" s="133">
        <v>7.23</v>
      </c>
      <c r="H56" s="262">
        <v>411.63</v>
      </c>
      <c r="I56" s="262">
        <f t="shared" si="9"/>
        <v>494.696934</v>
      </c>
      <c r="J56" s="262">
        <f t="shared" si="10"/>
        <v>3576.65883282</v>
      </c>
      <c r="K5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56" s="48" t="e">
        <f>MID(#REF!,1,IFERROR(FIND(".",#REF!)-1,0))</f>
        <v>#REF!</v>
      </c>
      <c r="O56" s="260"/>
    </row>
    <row r="57" spans="1:15" s="98" customFormat="1" ht="25.5">
      <c r="A57"/>
      <c r="B57" s="116" t="s">
        <v>477</v>
      </c>
      <c r="C57" s="130" t="s">
        <v>395</v>
      </c>
      <c r="D57" s="131" t="s">
        <v>811</v>
      </c>
      <c r="E57" s="168" t="s">
        <v>285</v>
      </c>
      <c r="F57" s="132" t="s">
        <v>133</v>
      </c>
      <c r="G57" s="133">
        <v>7.23</v>
      </c>
      <c r="H57" s="262">
        <v>149.41</v>
      </c>
      <c r="I57" s="262">
        <f t="shared" si="9"/>
        <v>179.56093799999999</v>
      </c>
      <c r="J57" s="262">
        <f t="shared" si="10"/>
        <v>1298.2255817400001</v>
      </c>
      <c r="K5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57" s="48" t="e">
        <f>MID(#REF!,1,IFERROR(FIND(".",#REF!)-1,0))</f>
        <v>#REF!</v>
      </c>
      <c r="O57" s="260"/>
    </row>
    <row r="58" spans="1:15" s="98" customFormat="1" ht="15">
      <c r="A58"/>
      <c r="B58" s="116" t="s">
        <v>478</v>
      </c>
      <c r="C58" s="130" t="s">
        <v>421</v>
      </c>
      <c r="D58" s="131" t="s">
        <v>811</v>
      </c>
      <c r="E58" s="168" t="s">
        <v>372</v>
      </c>
      <c r="F58" s="132" t="s">
        <v>133</v>
      </c>
      <c r="G58" s="133">
        <v>16.399999999999999</v>
      </c>
      <c r="H58" s="262">
        <v>15.63</v>
      </c>
      <c r="I58" s="262">
        <f t="shared" si="9"/>
        <v>18.784134000000002</v>
      </c>
      <c r="J58" s="262">
        <f t="shared" si="10"/>
        <v>308.05979760000002</v>
      </c>
      <c r="K5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58" s="48" t="e">
        <f>MID(#REF!,1,IFERROR(FIND(".",#REF!)-1,0))</f>
        <v>#REF!</v>
      </c>
      <c r="O58" s="260"/>
    </row>
    <row r="59" spans="1:15" s="98" customFormat="1" ht="25.5">
      <c r="A59"/>
      <c r="B59" s="116" t="s">
        <v>479</v>
      </c>
      <c r="C59" s="130" t="s">
        <v>396</v>
      </c>
      <c r="D59" s="131" t="s">
        <v>811</v>
      </c>
      <c r="E59" s="168" t="s">
        <v>313</v>
      </c>
      <c r="F59" s="132" t="s">
        <v>136</v>
      </c>
      <c r="G59" s="133">
        <v>55.69</v>
      </c>
      <c r="H59" s="262">
        <v>15.34</v>
      </c>
      <c r="I59" s="262">
        <f t="shared" si="9"/>
        <v>18.435611999999999</v>
      </c>
      <c r="J59" s="262">
        <f t="shared" si="10"/>
        <v>1026.67923228</v>
      </c>
      <c r="K5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59" s="48" t="e">
        <f>MID(#REF!,1,IFERROR(FIND(".",#REF!)-1,0))</f>
        <v>#REF!</v>
      </c>
      <c r="O59" s="260"/>
    </row>
    <row r="60" spans="1:15" s="98" customFormat="1" ht="15">
      <c r="A60"/>
      <c r="B60" s="318"/>
      <c r="C60" s="318" t="s">
        <v>390</v>
      </c>
      <c r="D60" s="318"/>
      <c r="E60" s="318"/>
      <c r="F60" s="318"/>
      <c r="G60" s="318"/>
      <c r="H60" s="319"/>
      <c r="I60" s="277" t="s">
        <v>4</v>
      </c>
      <c r="J60" s="278">
        <f>SUM(J51:J59)</f>
        <v>29676.856812299997</v>
      </c>
      <c r="K6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60" s="48" t="e">
        <f>MID(#REF!,1,IFERROR(FIND(".",#REF!)-1,0))</f>
        <v>#REF!</v>
      </c>
      <c r="O60" s="260"/>
    </row>
    <row r="61" spans="1:15" s="98" customFormat="1" ht="15">
      <c r="A61"/>
      <c r="B61" s="116">
        <v>8</v>
      </c>
      <c r="C61" s="130" t="s">
        <v>480</v>
      </c>
      <c r="D61" s="131"/>
      <c r="E61" s="168"/>
      <c r="F61" s="132"/>
      <c r="G61" s="133"/>
      <c r="H61" s="262"/>
      <c r="I61" s="262"/>
      <c r="J61" s="262"/>
      <c r="K6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61" s="48" t="e">
        <f>MID(#REF!,1,IFERROR(FIND(".",#REF!)-1,0))</f>
        <v>#REF!</v>
      </c>
      <c r="O61" s="260"/>
    </row>
    <row r="62" spans="1:15" s="98" customFormat="1" ht="15">
      <c r="A62"/>
      <c r="B62" s="116" t="s">
        <v>162</v>
      </c>
      <c r="C62" s="130" t="s">
        <v>768</v>
      </c>
      <c r="D62" s="131" t="s">
        <v>811</v>
      </c>
      <c r="E62" s="168" t="s">
        <v>471</v>
      </c>
      <c r="F62" s="132" t="s">
        <v>136</v>
      </c>
      <c r="G62" s="133">
        <v>103.85</v>
      </c>
      <c r="H62" s="262">
        <v>165.87</v>
      </c>
      <c r="I62" s="262">
        <f t="shared" ref="I62:I69" si="11">H62+H62*$I$9</f>
        <v>199.34256600000001</v>
      </c>
      <c r="J62" s="262">
        <f t="shared" ref="J62:J69" si="12">I62*G62</f>
        <v>20701.725479099998</v>
      </c>
      <c r="K6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62" s="48" t="e">
        <f>MID(#REF!,1,IFERROR(FIND(".",#REF!)-1,0))</f>
        <v>#REF!</v>
      </c>
      <c r="O62" s="260"/>
    </row>
    <row r="63" spans="1:15" s="98" customFormat="1" ht="15">
      <c r="A63"/>
      <c r="B63" s="116" t="s">
        <v>163</v>
      </c>
      <c r="C63" s="130" t="s">
        <v>394</v>
      </c>
      <c r="D63" s="131" t="s">
        <v>811</v>
      </c>
      <c r="E63" s="168" t="s">
        <v>283</v>
      </c>
      <c r="F63" s="132" t="s">
        <v>132</v>
      </c>
      <c r="G63" s="133">
        <v>917.02</v>
      </c>
      <c r="H63" s="262">
        <v>11.95</v>
      </c>
      <c r="I63" s="262">
        <f t="shared" si="11"/>
        <v>14.361509999999999</v>
      </c>
      <c r="J63" s="262">
        <f t="shared" si="12"/>
        <v>13169.791900199998</v>
      </c>
      <c r="K6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63" s="48" t="e">
        <f>MID(#REF!,1,IFERROR(FIND(".",#REF!)-1,0))</f>
        <v>#REF!</v>
      </c>
      <c r="O63" s="260"/>
    </row>
    <row r="64" spans="1:15" s="98" customFormat="1" ht="15">
      <c r="A64"/>
      <c r="B64" s="116" t="s">
        <v>481</v>
      </c>
      <c r="C64" s="130" t="s">
        <v>769</v>
      </c>
      <c r="D64" s="131" t="s">
        <v>811</v>
      </c>
      <c r="E64" s="168" t="s">
        <v>474</v>
      </c>
      <c r="F64" s="132" t="s">
        <v>132</v>
      </c>
      <c r="G64" s="133">
        <v>38.81</v>
      </c>
      <c r="H64" s="262">
        <v>15.24</v>
      </c>
      <c r="I64" s="262">
        <f t="shared" si="11"/>
        <v>18.315432000000001</v>
      </c>
      <c r="J64" s="262">
        <f t="shared" si="12"/>
        <v>710.82191592000004</v>
      </c>
      <c r="K6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64" s="48" t="e">
        <f>MID(#REF!,1,IFERROR(FIND(".",#REF!)-1,0))</f>
        <v>#REF!</v>
      </c>
      <c r="O64" s="260"/>
    </row>
    <row r="65" spans="1:15" s="98" customFormat="1" ht="15">
      <c r="A65"/>
      <c r="B65" s="116" t="s">
        <v>482</v>
      </c>
      <c r="C65" s="130" t="s">
        <v>422</v>
      </c>
      <c r="D65" s="131" t="s">
        <v>811</v>
      </c>
      <c r="E65" s="168" t="s">
        <v>284</v>
      </c>
      <c r="F65" s="132" t="s">
        <v>133</v>
      </c>
      <c r="G65" s="133">
        <v>4.96</v>
      </c>
      <c r="H65" s="262">
        <v>411.63</v>
      </c>
      <c r="I65" s="262">
        <f t="shared" si="11"/>
        <v>494.696934</v>
      </c>
      <c r="J65" s="262">
        <f t="shared" si="12"/>
        <v>2453.6967926399998</v>
      </c>
      <c r="K6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65" s="48" t="e">
        <f>MID(#REF!,1,IFERROR(FIND(".",#REF!)-1,0))</f>
        <v>#REF!</v>
      </c>
      <c r="O65" s="260"/>
    </row>
    <row r="66" spans="1:15" s="98" customFormat="1" ht="25.5">
      <c r="A66"/>
      <c r="B66" s="116" t="s">
        <v>483</v>
      </c>
      <c r="C66" s="130" t="s">
        <v>395</v>
      </c>
      <c r="D66" s="131" t="s">
        <v>811</v>
      </c>
      <c r="E66" s="168" t="s">
        <v>285</v>
      </c>
      <c r="F66" s="132" t="s">
        <v>133</v>
      </c>
      <c r="G66" s="133">
        <v>4.96</v>
      </c>
      <c r="H66" s="262">
        <v>149.41</v>
      </c>
      <c r="I66" s="262">
        <f t="shared" si="11"/>
        <v>179.56093799999999</v>
      </c>
      <c r="J66" s="262">
        <f t="shared" si="12"/>
        <v>890.62225247999993</v>
      </c>
      <c r="K6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66" s="48" t="e">
        <f>MID(#REF!,1,IFERROR(FIND(".",#REF!)-1,0))</f>
        <v>#REF!</v>
      </c>
      <c r="O66" s="260"/>
    </row>
    <row r="67" spans="1:15" s="98" customFormat="1" ht="25.5">
      <c r="A67"/>
      <c r="B67" s="116" t="s">
        <v>484</v>
      </c>
      <c r="C67" s="130" t="s">
        <v>770</v>
      </c>
      <c r="D67" s="131" t="s">
        <v>811</v>
      </c>
      <c r="E67" s="168" t="s">
        <v>485</v>
      </c>
      <c r="F67" s="132" t="s">
        <v>136</v>
      </c>
      <c r="G67" s="133">
        <v>54.56</v>
      </c>
      <c r="H67" s="262">
        <v>131.22</v>
      </c>
      <c r="I67" s="262">
        <f t="shared" si="11"/>
        <v>157.70019600000001</v>
      </c>
      <c r="J67" s="262">
        <f t="shared" si="12"/>
        <v>8604.1226937600004</v>
      </c>
      <c r="K6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67" s="48" t="e">
        <f>MID(#REF!,1,IFERROR(FIND(".",#REF!)-1,0))</f>
        <v>#REF!</v>
      </c>
      <c r="O67" s="260"/>
    </row>
    <row r="68" spans="1:15" s="98" customFormat="1" ht="25.5">
      <c r="A68"/>
      <c r="B68" s="116" t="s">
        <v>486</v>
      </c>
      <c r="C68" s="130" t="s">
        <v>400</v>
      </c>
      <c r="D68" s="131" t="s">
        <v>811</v>
      </c>
      <c r="E68" s="168" t="s">
        <v>286</v>
      </c>
      <c r="F68" s="132" t="s">
        <v>136</v>
      </c>
      <c r="G68" s="133">
        <v>22.71</v>
      </c>
      <c r="H68" s="262">
        <v>171.9</v>
      </c>
      <c r="I68" s="262">
        <f t="shared" si="11"/>
        <v>206.58942000000002</v>
      </c>
      <c r="J68" s="262">
        <f t="shared" si="12"/>
        <v>4691.645728200001</v>
      </c>
      <c r="K6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68" s="48" t="e">
        <f>MID(#REF!,1,IFERROR(FIND(".",#REF!)-1,0))</f>
        <v>#REF!</v>
      </c>
      <c r="O68" s="260"/>
    </row>
    <row r="69" spans="1:15" s="98" customFormat="1" ht="15">
      <c r="A69"/>
      <c r="B69" s="116" t="s">
        <v>487</v>
      </c>
      <c r="C69" s="130" t="s">
        <v>401</v>
      </c>
      <c r="D69" s="131" t="s">
        <v>811</v>
      </c>
      <c r="E69" s="168" t="s">
        <v>287</v>
      </c>
      <c r="F69" s="132" t="s">
        <v>132</v>
      </c>
      <c r="G69" s="133">
        <v>114.36</v>
      </c>
      <c r="H69" s="262">
        <v>13.48</v>
      </c>
      <c r="I69" s="262">
        <f t="shared" si="11"/>
        <v>16.200264000000001</v>
      </c>
      <c r="J69" s="262">
        <f t="shared" si="12"/>
        <v>1852.6621910400002</v>
      </c>
      <c r="K6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69" s="48" t="e">
        <f>MID(#REF!,1,IFERROR(FIND(".",#REF!)-1,0))</f>
        <v>#REF!</v>
      </c>
      <c r="O69" s="260"/>
    </row>
    <row r="70" spans="1:15" s="98" customFormat="1" ht="15">
      <c r="A70"/>
      <c r="B70" s="318"/>
      <c r="C70" s="318" t="s">
        <v>390</v>
      </c>
      <c r="D70" s="318"/>
      <c r="E70" s="318"/>
      <c r="F70" s="318"/>
      <c r="G70" s="318"/>
      <c r="H70" s="319"/>
      <c r="I70" s="277" t="s">
        <v>4</v>
      </c>
      <c r="J70" s="278">
        <f>SUM(J62:J69)</f>
        <v>53075.088953340004</v>
      </c>
      <c r="K7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70" s="48" t="e">
        <f>MID(#REF!,1,IFERROR(FIND(".",#REF!)-1,0))</f>
        <v>#REF!</v>
      </c>
      <c r="O70" s="260"/>
    </row>
    <row r="71" spans="1:15" s="98" customFormat="1" ht="15">
      <c r="A71"/>
      <c r="B71" s="116">
        <v>9</v>
      </c>
      <c r="C71" s="130" t="s">
        <v>488</v>
      </c>
      <c r="D71" s="131"/>
      <c r="E71" s="168"/>
      <c r="F71" s="132"/>
      <c r="G71" s="133"/>
      <c r="H71" s="262"/>
      <c r="I71" s="262"/>
      <c r="J71" s="262"/>
      <c r="K7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71" s="48" t="e">
        <f>MID(#REF!,1,IFERROR(FIND(".",#REF!)-1,0))</f>
        <v>#REF!</v>
      </c>
      <c r="O71" s="260"/>
    </row>
    <row r="72" spans="1:15" s="98" customFormat="1" ht="25.5">
      <c r="A72"/>
      <c r="B72" s="116" t="s">
        <v>165</v>
      </c>
      <c r="C72" s="130" t="s">
        <v>771</v>
      </c>
      <c r="D72" s="131" t="s">
        <v>811</v>
      </c>
      <c r="E72" s="168" t="s">
        <v>364</v>
      </c>
      <c r="F72" s="132" t="s">
        <v>133</v>
      </c>
      <c r="G72" s="133">
        <v>19.86</v>
      </c>
      <c r="H72" s="262">
        <v>5.76</v>
      </c>
      <c r="I72" s="262">
        <f t="shared" ref="I72:I76" si="13">H72+H72*$I$9</f>
        <v>6.9223679999999996</v>
      </c>
      <c r="J72" s="262">
        <f t="shared" ref="J72:J76" si="14">I72*G72</f>
        <v>137.47822847999998</v>
      </c>
      <c r="K7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72" s="48" t="e">
        <f>MID(#REF!,1,IFERROR(FIND(".",#REF!)-1,0))</f>
        <v>#REF!</v>
      </c>
      <c r="O72" s="260"/>
    </row>
    <row r="73" spans="1:15" s="98" customFormat="1" ht="15">
      <c r="A73"/>
      <c r="B73" s="116" t="s">
        <v>268</v>
      </c>
      <c r="C73" s="130" t="s">
        <v>403</v>
      </c>
      <c r="D73" s="131" t="s">
        <v>811</v>
      </c>
      <c r="E73" s="168" t="s">
        <v>292</v>
      </c>
      <c r="F73" s="132" t="s">
        <v>136</v>
      </c>
      <c r="G73" s="133">
        <v>198.6</v>
      </c>
      <c r="H73" s="262">
        <v>3.02</v>
      </c>
      <c r="I73" s="262">
        <f t="shared" si="13"/>
        <v>3.6294360000000001</v>
      </c>
      <c r="J73" s="262">
        <f t="shared" si="14"/>
        <v>720.80598959999998</v>
      </c>
      <c r="K7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73" s="48" t="e">
        <f>MID(#REF!,1,IFERROR(FIND(".",#REF!)-1,0))</f>
        <v>#REF!</v>
      </c>
      <c r="O73" s="260"/>
    </row>
    <row r="74" spans="1:15" s="98" customFormat="1" ht="15">
      <c r="A74"/>
      <c r="B74" s="116" t="s">
        <v>269</v>
      </c>
      <c r="C74" s="130" t="s">
        <v>393</v>
      </c>
      <c r="D74" s="131" t="s">
        <v>811</v>
      </c>
      <c r="E74" s="168" t="s">
        <v>291</v>
      </c>
      <c r="F74" s="132" t="s">
        <v>133</v>
      </c>
      <c r="G74" s="133">
        <v>9.93</v>
      </c>
      <c r="H74" s="262">
        <v>135.47999999999999</v>
      </c>
      <c r="I74" s="262">
        <f t="shared" si="13"/>
        <v>162.819864</v>
      </c>
      <c r="J74" s="262">
        <f t="shared" si="14"/>
        <v>1616.8012495199998</v>
      </c>
      <c r="K7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74" s="48" t="e">
        <f>MID(#REF!,1,IFERROR(FIND(".",#REF!)-1,0))</f>
        <v>#REF!</v>
      </c>
      <c r="O74" s="260"/>
    </row>
    <row r="75" spans="1:15" s="98" customFormat="1" ht="25.5">
      <c r="A75"/>
      <c r="B75" s="116" t="s">
        <v>366</v>
      </c>
      <c r="C75" s="130" t="s">
        <v>772</v>
      </c>
      <c r="D75" s="131" t="s">
        <v>811</v>
      </c>
      <c r="E75" s="168" t="s">
        <v>489</v>
      </c>
      <c r="F75" s="132" t="s">
        <v>133</v>
      </c>
      <c r="G75" s="133">
        <v>19.86</v>
      </c>
      <c r="H75" s="262">
        <v>771.23</v>
      </c>
      <c r="I75" s="262">
        <f t="shared" si="13"/>
        <v>926.86421400000006</v>
      </c>
      <c r="J75" s="262">
        <f t="shared" si="14"/>
        <v>18407.523290040001</v>
      </c>
      <c r="K7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75" s="48" t="e">
        <f>MID(#REF!,1,IFERROR(FIND(".",#REF!)-1,0))</f>
        <v>#REF!</v>
      </c>
      <c r="O75" s="260"/>
    </row>
    <row r="76" spans="1:15" s="98" customFormat="1" ht="25.5">
      <c r="A76"/>
      <c r="B76" s="116" t="s">
        <v>367</v>
      </c>
      <c r="C76" s="130" t="s">
        <v>404</v>
      </c>
      <c r="D76" s="131" t="s">
        <v>811</v>
      </c>
      <c r="E76" s="168" t="s">
        <v>293</v>
      </c>
      <c r="F76" s="132" t="s">
        <v>133</v>
      </c>
      <c r="G76" s="133">
        <v>4.96</v>
      </c>
      <c r="H76" s="262">
        <v>707.56</v>
      </c>
      <c r="I76" s="262">
        <f t="shared" si="13"/>
        <v>850.34560799999997</v>
      </c>
      <c r="J76" s="262">
        <f t="shared" si="14"/>
        <v>4217.7142156800001</v>
      </c>
      <c r="K76" s="49"/>
      <c r="L76" s="48"/>
      <c r="O76" s="261"/>
    </row>
    <row r="77" spans="1:15" s="98" customFormat="1" ht="15">
      <c r="A77"/>
      <c r="B77" s="318"/>
      <c r="C77" s="318" t="s">
        <v>390</v>
      </c>
      <c r="D77" s="318"/>
      <c r="E77" s="318"/>
      <c r="F77" s="318"/>
      <c r="G77" s="318"/>
      <c r="H77" s="319"/>
      <c r="I77" s="277" t="s">
        <v>4</v>
      </c>
      <c r="J77" s="278">
        <f>SUM(J72:J76)</f>
        <v>25100.322973320002</v>
      </c>
      <c r="K7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77" s="48" t="e">
        <f>MID(#REF!,1,IFERROR(FIND(".",#REF!)-1,0))</f>
        <v>#REF!</v>
      </c>
      <c r="O77" s="260"/>
    </row>
    <row r="78" spans="1:15" s="98" customFormat="1" ht="15">
      <c r="A78"/>
      <c r="B78" s="116">
        <v>10</v>
      </c>
      <c r="C78" s="130" t="s">
        <v>490</v>
      </c>
      <c r="D78" s="131"/>
      <c r="E78" s="168"/>
      <c r="F78" s="132"/>
      <c r="G78" s="133"/>
      <c r="H78" s="262"/>
      <c r="I78" s="262"/>
      <c r="J78" s="262"/>
      <c r="K7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78" s="48" t="e">
        <f>MID(#REF!,1,IFERROR(FIND(".",#REF!)-1,0))</f>
        <v>#REF!</v>
      </c>
      <c r="O78" s="260"/>
    </row>
    <row r="79" spans="1:15" s="98" customFormat="1" ht="25.5">
      <c r="A79"/>
      <c r="B79" s="116" t="s">
        <v>167</v>
      </c>
      <c r="C79" s="130" t="s">
        <v>773</v>
      </c>
      <c r="D79" s="131" t="s">
        <v>811</v>
      </c>
      <c r="E79" s="168" t="s">
        <v>491</v>
      </c>
      <c r="F79" s="132" t="s">
        <v>136</v>
      </c>
      <c r="G79" s="133">
        <v>22.44</v>
      </c>
      <c r="H79" s="262">
        <v>79.459999999999994</v>
      </c>
      <c r="I79" s="262">
        <f t="shared" ref="I79:I81" si="15">H79+H79*$I$9</f>
        <v>95.495027999999991</v>
      </c>
      <c r="J79" s="262">
        <f t="shared" ref="J79:J81" si="16">I79*G79</f>
        <v>2142.90842832</v>
      </c>
      <c r="K7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79" s="48" t="e">
        <f>MID(#REF!,1,IFERROR(FIND(".",#REF!)-1,0))</f>
        <v>#REF!</v>
      </c>
      <c r="O79" s="260"/>
    </row>
    <row r="80" spans="1:15" s="98" customFormat="1" ht="25.5">
      <c r="A80"/>
      <c r="B80" s="116" t="s">
        <v>168</v>
      </c>
      <c r="C80" s="130" t="s">
        <v>774</v>
      </c>
      <c r="D80" s="131" t="s">
        <v>811</v>
      </c>
      <c r="E80" s="168" t="s">
        <v>492</v>
      </c>
      <c r="F80" s="132" t="s">
        <v>136</v>
      </c>
      <c r="G80" s="133">
        <v>306.01</v>
      </c>
      <c r="H80" s="262">
        <v>69.19</v>
      </c>
      <c r="I80" s="262">
        <f t="shared" si="15"/>
        <v>83.152541999999997</v>
      </c>
      <c r="J80" s="262">
        <f t="shared" si="16"/>
        <v>25445.50937742</v>
      </c>
      <c r="K8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80" s="48" t="e">
        <f>MID(#REF!,1,IFERROR(FIND(".",#REF!)-1,0))</f>
        <v>#REF!</v>
      </c>
      <c r="O80" s="260"/>
    </row>
    <row r="81" spans="1:15" s="98" customFormat="1" ht="15">
      <c r="A81"/>
      <c r="B81" s="116" t="s">
        <v>493</v>
      </c>
      <c r="C81" s="130" t="s">
        <v>775</v>
      </c>
      <c r="D81" s="131" t="s">
        <v>811</v>
      </c>
      <c r="E81" s="168" t="s">
        <v>494</v>
      </c>
      <c r="F81" s="132" t="s">
        <v>133</v>
      </c>
      <c r="G81" s="133">
        <v>0.66</v>
      </c>
      <c r="H81" s="262">
        <v>1669.87</v>
      </c>
      <c r="I81" s="262">
        <f t="shared" si="15"/>
        <v>2006.8497659999998</v>
      </c>
      <c r="J81" s="262">
        <f t="shared" si="16"/>
        <v>1324.52084556</v>
      </c>
      <c r="K8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81" s="48" t="e">
        <f>MID(#REF!,1,IFERROR(FIND(".",#REF!)-1,0))</f>
        <v>#REF!</v>
      </c>
      <c r="O81" s="260"/>
    </row>
    <row r="82" spans="1:15" s="98" customFormat="1" ht="15">
      <c r="A82"/>
      <c r="B82" s="318"/>
      <c r="C82" s="318" t="s">
        <v>390</v>
      </c>
      <c r="D82" s="318"/>
      <c r="E82" s="318"/>
      <c r="F82" s="318"/>
      <c r="G82" s="318"/>
      <c r="H82" s="319"/>
      <c r="I82" s="277" t="s">
        <v>4</v>
      </c>
      <c r="J82" s="278">
        <f>SUM(J79:J81)</f>
        <v>28912.938651299999</v>
      </c>
      <c r="K8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82" s="48" t="e">
        <f>MID(#REF!,1,IFERROR(FIND(".",#REF!)-1,0))</f>
        <v>#REF!</v>
      </c>
      <c r="O82" s="260"/>
    </row>
    <row r="83" spans="1:15" s="98" customFormat="1" ht="15">
      <c r="A83"/>
      <c r="B83" s="116">
        <v>11</v>
      </c>
      <c r="C83" s="130" t="s">
        <v>495</v>
      </c>
      <c r="D83" s="131"/>
      <c r="E83" s="168"/>
      <c r="F83" s="132"/>
      <c r="G83" s="133"/>
      <c r="H83" s="262"/>
      <c r="I83" s="262"/>
      <c r="J83" s="262"/>
      <c r="K8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83" s="48" t="e">
        <f>MID(#REF!,1,IFERROR(FIND(".",#REF!)-1,0))</f>
        <v>#REF!</v>
      </c>
      <c r="O83" s="260"/>
    </row>
    <row r="84" spans="1:15" s="98" customFormat="1" ht="15">
      <c r="A84"/>
      <c r="B84" s="116" t="s">
        <v>170</v>
      </c>
      <c r="C84" s="130" t="s">
        <v>431</v>
      </c>
      <c r="D84" s="131" t="s">
        <v>811</v>
      </c>
      <c r="E84" s="168" t="s">
        <v>289</v>
      </c>
      <c r="F84" s="132" t="s">
        <v>25</v>
      </c>
      <c r="G84" s="133">
        <v>4</v>
      </c>
      <c r="H84" s="262">
        <v>16.28</v>
      </c>
      <c r="I84" s="262">
        <f t="shared" ref="I84:I91" si="17">H84+H84*$I$9</f>
        <v>19.565304000000001</v>
      </c>
      <c r="J84" s="262">
        <f t="shared" ref="J84:J91" si="18">I84*G84</f>
        <v>78.261216000000005</v>
      </c>
      <c r="K8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84" s="48" t="e">
        <f>MID(#REF!,1,IFERROR(FIND(".",#REF!)-1,0))</f>
        <v>#REF!</v>
      </c>
      <c r="O84" s="260"/>
    </row>
    <row r="85" spans="1:15" s="98" customFormat="1" ht="15">
      <c r="A85"/>
      <c r="B85" s="116" t="s">
        <v>496</v>
      </c>
      <c r="C85" s="130" t="s">
        <v>402</v>
      </c>
      <c r="D85" s="131" t="s">
        <v>811</v>
      </c>
      <c r="E85" s="168" t="s">
        <v>288</v>
      </c>
      <c r="F85" s="132" t="s">
        <v>115</v>
      </c>
      <c r="G85" s="133">
        <v>57.83</v>
      </c>
      <c r="H85" s="262">
        <v>100.73</v>
      </c>
      <c r="I85" s="262">
        <f t="shared" si="17"/>
        <v>121.05731400000001</v>
      </c>
      <c r="J85" s="262">
        <f t="shared" si="18"/>
        <v>7000.7444686199997</v>
      </c>
      <c r="K8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85" s="48" t="e">
        <f>MID(#REF!,1,IFERROR(FIND(".",#REF!)-1,0))</f>
        <v>#REF!</v>
      </c>
      <c r="O85" s="260"/>
    </row>
    <row r="86" spans="1:15" s="98" customFormat="1" ht="38.25">
      <c r="A86"/>
      <c r="B86" s="116" t="s">
        <v>497</v>
      </c>
      <c r="C86" s="130" t="s">
        <v>430</v>
      </c>
      <c r="D86" s="131" t="s">
        <v>811</v>
      </c>
      <c r="E86" s="168" t="s">
        <v>376</v>
      </c>
      <c r="F86" s="132" t="s">
        <v>115</v>
      </c>
      <c r="G86" s="133">
        <v>30</v>
      </c>
      <c r="H86" s="262">
        <v>97.36</v>
      </c>
      <c r="I86" s="262">
        <f t="shared" si="17"/>
        <v>117.007248</v>
      </c>
      <c r="J86" s="262">
        <f t="shared" si="18"/>
        <v>3510.2174400000004</v>
      </c>
      <c r="K8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86" s="48" t="e">
        <f>MID(#REF!,1,IFERROR(FIND(".",#REF!)-1,0))</f>
        <v>#REF!</v>
      </c>
      <c r="O86" s="260"/>
    </row>
    <row r="87" spans="1:15" s="98" customFormat="1" ht="38.25">
      <c r="A87"/>
      <c r="B87" s="116" t="s">
        <v>498</v>
      </c>
      <c r="C87" s="130" t="s">
        <v>499</v>
      </c>
      <c r="D87" s="131" t="s">
        <v>26</v>
      </c>
      <c r="E87" s="168" t="s">
        <v>500</v>
      </c>
      <c r="F87" s="132" t="s">
        <v>25</v>
      </c>
      <c r="G87" s="133">
        <v>6</v>
      </c>
      <c r="H87" s="262">
        <v>232.16</v>
      </c>
      <c r="I87" s="262">
        <f t="shared" si="17"/>
        <v>279.00988799999999</v>
      </c>
      <c r="J87" s="262">
        <f t="shared" si="18"/>
        <v>1674.0593279999998</v>
      </c>
      <c r="K8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87" s="48" t="e">
        <f>MID(#REF!,1,IFERROR(FIND(".",#REF!)-1,0))</f>
        <v>#REF!</v>
      </c>
      <c r="O87" s="260"/>
    </row>
    <row r="88" spans="1:15" s="98" customFormat="1" ht="25.5">
      <c r="A88"/>
      <c r="B88" s="116" t="s">
        <v>501</v>
      </c>
      <c r="C88" s="130" t="s">
        <v>397</v>
      </c>
      <c r="D88" s="131" t="s">
        <v>811</v>
      </c>
      <c r="E88" s="168" t="s">
        <v>362</v>
      </c>
      <c r="F88" s="132" t="s">
        <v>132</v>
      </c>
      <c r="G88" s="133">
        <v>241.05</v>
      </c>
      <c r="H88" s="262">
        <v>16.59</v>
      </c>
      <c r="I88" s="262">
        <f t="shared" si="17"/>
        <v>19.937861999999999</v>
      </c>
      <c r="J88" s="262">
        <f t="shared" si="18"/>
        <v>4806.0216350999999</v>
      </c>
      <c r="K8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88" s="48" t="e">
        <f>MID(#REF!,1,IFERROR(FIND(".",#REF!)-1,0))</f>
        <v>#REF!</v>
      </c>
      <c r="O88" s="260"/>
    </row>
    <row r="89" spans="1:15" s="98" customFormat="1" ht="25.5">
      <c r="A89"/>
      <c r="B89" s="116" t="s">
        <v>502</v>
      </c>
      <c r="C89" s="130" t="s">
        <v>398</v>
      </c>
      <c r="D89" s="131" t="s">
        <v>811</v>
      </c>
      <c r="E89" s="168" t="s">
        <v>312</v>
      </c>
      <c r="F89" s="132" t="s">
        <v>136</v>
      </c>
      <c r="G89" s="133">
        <v>55.67</v>
      </c>
      <c r="H89" s="262">
        <v>14.26</v>
      </c>
      <c r="I89" s="262">
        <f t="shared" si="17"/>
        <v>17.137667999999998</v>
      </c>
      <c r="J89" s="262">
        <f t="shared" si="18"/>
        <v>954.05397755999991</v>
      </c>
      <c r="K8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89" s="48" t="e">
        <f>MID(#REF!,1,IFERROR(FIND(".",#REF!)-1,0))</f>
        <v>#REF!</v>
      </c>
      <c r="O89" s="260"/>
    </row>
    <row r="90" spans="1:15" s="98" customFormat="1" ht="15">
      <c r="A90"/>
      <c r="B90" s="116" t="s">
        <v>503</v>
      </c>
      <c r="C90" s="130" t="s">
        <v>399</v>
      </c>
      <c r="D90" s="131" t="s">
        <v>811</v>
      </c>
      <c r="E90" s="168" t="s">
        <v>290</v>
      </c>
      <c r="F90" s="132" t="s">
        <v>136</v>
      </c>
      <c r="G90" s="133">
        <v>55.67</v>
      </c>
      <c r="H90" s="262">
        <v>42.25</v>
      </c>
      <c r="I90" s="262">
        <f t="shared" si="17"/>
        <v>50.776049999999998</v>
      </c>
      <c r="J90" s="262">
        <f t="shared" si="18"/>
        <v>2826.7027035000001</v>
      </c>
      <c r="K9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90" s="48" t="e">
        <f>MID(#REF!,1,IFERROR(FIND(".",#REF!)-1,0))</f>
        <v>#REF!</v>
      </c>
      <c r="O90" s="260"/>
    </row>
    <row r="91" spans="1:15" s="98" customFormat="1" ht="38.25">
      <c r="A91"/>
      <c r="B91" s="116" t="s">
        <v>504</v>
      </c>
      <c r="C91" s="130" t="s">
        <v>776</v>
      </c>
      <c r="D91" s="131" t="s">
        <v>811</v>
      </c>
      <c r="E91" s="168" t="s">
        <v>505</v>
      </c>
      <c r="F91" s="132" t="s">
        <v>136</v>
      </c>
      <c r="G91" s="133">
        <v>55.67</v>
      </c>
      <c r="H91" s="262">
        <v>140.58000000000001</v>
      </c>
      <c r="I91" s="262">
        <f t="shared" si="17"/>
        <v>168.94904400000001</v>
      </c>
      <c r="J91" s="262">
        <f t="shared" si="18"/>
        <v>9405.3932794800003</v>
      </c>
      <c r="K9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91" s="48" t="e">
        <f>MID(#REF!,1,IFERROR(FIND(".",#REF!)-1,0))</f>
        <v>#REF!</v>
      </c>
      <c r="O91" s="260"/>
    </row>
    <row r="92" spans="1:15" s="98" customFormat="1" ht="15">
      <c r="A92"/>
      <c r="B92" s="318"/>
      <c r="C92" s="318" t="s">
        <v>390</v>
      </c>
      <c r="D92" s="318"/>
      <c r="E92" s="318"/>
      <c r="F92" s="318"/>
      <c r="G92" s="318"/>
      <c r="H92" s="319"/>
      <c r="I92" s="277" t="s">
        <v>4</v>
      </c>
      <c r="J92" s="278">
        <f>SUM(J84:J91)</f>
        <v>30255.454048259999</v>
      </c>
      <c r="K9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92" s="48" t="e">
        <f>MID(#REF!,1,IFERROR(FIND(".",#REF!)-1,0))</f>
        <v>#REF!</v>
      </c>
      <c r="O92" s="260"/>
    </row>
    <row r="93" spans="1:15" s="98" customFormat="1" ht="15">
      <c r="A93"/>
      <c r="B93" s="116">
        <v>12</v>
      </c>
      <c r="C93" s="130" t="s">
        <v>506</v>
      </c>
      <c r="D93" s="131"/>
      <c r="E93" s="168"/>
      <c r="F93" s="132"/>
      <c r="G93" s="133"/>
      <c r="H93" s="262"/>
      <c r="I93" s="262"/>
      <c r="J93" s="262"/>
      <c r="K9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93" s="48" t="e">
        <f>MID(#REF!,1,IFERROR(FIND(".",#REF!)-1,0))</f>
        <v>#REF!</v>
      </c>
      <c r="O93" s="260"/>
    </row>
    <row r="94" spans="1:15" s="98" customFormat="1" ht="15">
      <c r="A94"/>
      <c r="B94" s="116" t="s">
        <v>172</v>
      </c>
      <c r="C94" s="130" t="s">
        <v>405</v>
      </c>
      <c r="D94" s="131" t="s">
        <v>811</v>
      </c>
      <c r="E94" s="168" t="s">
        <v>294</v>
      </c>
      <c r="F94" s="132" t="s">
        <v>136</v>
      </c>
      <c r="G94" s="133">
        <v>743.85</v>
      </c>
      <c r="H94" s="262">
        <v>5.95</v>
      </c>
      <c r="I94" s="262">
        <f t="shared" ref="I94:I98" si="19">H94+H94*$I$9</f>
        <v>7.1507100000000001</v>
      </c>
      <c r="J94" s="262">
        <f t="shared" ref="J94:J98" si="20">I94*G94</f>
        <v>5319.0556335000001</v>
      </c>
      <c r="K94" s="49"/>
      <c r="L94" s="48"/>
      <c r="O94" s="261"/>
    </row>
    <row r="95" spans="1:15" s="98" customFormat="1" ht="15">
      <c r="A95"/>
      <c r="B95" s="116" t="s">
        <v>173</v>
      </c>
      <c r="C95" s="130" t="s">
        <v>406</v>
      </c>
      <c r="D95" s="131" t="s">
        <v>811</v>
      </c>
      <c r="E95" s="168" t="s">
        <v>365</v>
      </c>
      <c r="F95" s="132" t="s">
        <v>136</v>
      </c>
      <c r="G95" s="133">
        <v>743.85</v>
      </c>
      <c r="H95" s="262">
        <v>37.729999999999997</v>
      </c>
      <c r="I95" s="262">
        <v>39.880000000000003</v>
      </c>
      <c r="J95" s="262">
        <f t="shared" si="20"/>
        <v>29664.738000000001</v>
      </c>
      <c r="K9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95" s="48" t="e">
        <f>MID(#REF!,1,IFERROR(FIND(".",#REF!)-1,0))</f>
        <v>#REF!</v>
      </c>
      <c r="O95" s="260"/>
    </row>
    <row r="96" spans="1:15" s="98" customFormat="1" ht="38.25">
      <c r="A96"/>
      <c r="B96" s="116" t="s">
        <v>370</v>
      </c>
      <c r="C96" s="130" t="s">
        <v>762</v>
      </c>
      <c r="D96" s="131" t="s">
        <v>811</v>
      </c>
      <c r="E96" s="168" t="s">
        <v>457</v>
      </c>
      <c r="F96" s="132" t="s">
        <v>136</v>
      </c>
      <c r="G96" s="133">
        <v>306.01</v>
      </c>
      <c r="H96" s="262">
        <v>94.56</v>
      </c>
      <c r="I96" s="262">
        <f t="shared" si="19"/>
        <v>113.64220800000001</v>
      </c>
      <c r="J96" s="262">
        <f t="shared" si="20"/>
        <v>34775.652070080003</v>
      </c>
      <c r="K9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96" s="48" t="e">
        <f>MID(#REF!,1,IFERROR(FIND(".",#REF!)-1,0))</f>
        <v>#REF!</v>
      </c>
      <c r="O96" s="260"/>
    </row>
    <row r="97" spans="1:15" s="98" customFormat="1" ht="25.5">
      <c r="A97"/>
      <c r="B97" s="116" t="s">
        <v>820</v>
      </c>
      <c r="C97" s="130" t="s">
        <v>507</v>
      </c>
      <c r="D97" s="131" t="s">
        <v>508</v>
      </c>
      <c r="E97" s="168" t="s">
        <v>509</v>
      </c>
      <c r="F97" s="132" t="s">
        <v>136</v>
      </c>
      <c r="G97" s="133">
        <v>113.08</v>
      </c>
      <c r="H97" s="262">
        <v>50.96</v>
      </c>
      <c r="I97" s="262">
        <f t="shared" si="19"/>
        <v>61.243728000000004</v>
      </c>
      <c r="J97" s="262">
        <f t="shared" si="20"/>
        <v>6925.4407622400004</v>
      </c>
      <c r="K9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97" s="48" t="e">
        <f>MID(#REF!,1,IFERROR(FIND(".",#REF!)-1,0))</f>
        <v>#REF!</v>
      </c>
      <c r="O97" s="260"/>
    </row>
    <row r="98" spans="1:15" s="98" customFormat="1" ht="15">
      <c r="A98"/>
      <c r="B98" s="116" t="s">
        <v>821</v>
      </c>
      <c r="C98" s="130" t="s">
        <v>777</v>
      </c>
      <c r="D98" s="131" t="s">
        <v>811</v>
      </c>
      <c r="E98" s="168" t="s">
        <v>510</v>
      </c>
      <c r="F98" s="132" t="s">
        <v>136</v>
      </c>
      <c r="G98" s="133">
        <v>437.84</v>
      </c>
      <c r="H98" s="262">
        <v>26.52</v>
      </c>
      <c r="I98" s="262">
        <f t="shared" si="19"/>
        <v>31.871735999999999</v>
      </c>
      <c r="J98" s="262">
        <f t="shared" si="20"/>
        <v>13954.720890239998</v>
      </c>
      <c r="K9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98" s="48" t="e">
        <f>MID(#REF!,1,IFERROR(FIND(".",#REF!)-1,0))</f>
        <v>#REF!</v>
      </c>
      <c r="O98" s="260"/>
    </row>
    <row r="99" spans="1:15" s="98" customFormat="1" ht="15">
      <c r="A99"/>
      <c r="B99" s="318"/>
      <c r="C99" s="318" t="s">
        <v>390</v>
      </c>
      <c r="D99" s="318"/>
      <c r="E99" s="318"/>
      <c r="F99" s="318"/>
      <c r="G99" s="318"/>
      <c r="H99" s="319"/>
      <c r="I99" s="277" t="s">
        <v>4</v>
      </c>
      <c r="J99" s="278">
        <f>SUM(J94:J98)</f>
        <v>90639.607356060005</v>
      </c>
      <c r="K9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99" s="48" t="e">
        <f>MID(#REF!,1,IFERROR(FIND(".",#REF!)-1,0))</f>
        <v>#REF!</v>
      </c>
      <c r="O99" s="260"/>
    </row>
    <row r="100" spans="1:15" s="98" customFormat="1" ht="15">
      <c r="A100"/>
      <c r="B100" s="116">
        <v>13</v>
      </c>
      <c r="C100" s="130" t="s">
        <v>511</v>
      </c>
      <c r="D100" s="131"/>
      <c r="E100" s="168"/>
      <c r="F100" s="132"/>
      <c r="G100" s="133"/>
      <c r="H100" s="262"/>
      <c r="I100" s="262"/>
      <c r="J100" s="262"/>
      <c r="K10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00" s="48" t="e">
        <f>MID(#REF!,1,IFERROR(FIND(".",#REF!)-1,0))</f>
        <v>#REF!</v>
      </c>
      <c r="O100" s="260"/>
    </row>
    <row r="101" spans="1:15" s="98" customFormat="1" ht="15">
      <c r="A101"/>
      <c r="B101" s="116" t="s">
        <v>175</v>
      </c>
      <c r="C101" s="130" t="s">
        <v>778</v>
      </c>
      <c r="D101" s="131" t="s">
        <v>811</v>
      </c>
      <c r="E101" s="168" t="s">
        <v>512</v>
      </c>
      <c r="F101" s="132" t="s">
        <v>136</v>
      </c>
      <c r="G101" s="133">
        <v>0.96</v>
      </c>
      <c r="H101" s="262">
        <v>1348.09</v>
      </c>
      <c r="I101" s="262">
        <f t="shared" ref="I101:I104" si="21">H101+H101*$I$9</f>
        <v>1620.134562</v>
      </c>
      <c r="J101" s="262">
        <f t="shared" ref="J101:J103" si="22">I101*G101</f>
        <v>1555.3291795199998</v>
      </c>
      <c r="K101" s="49"/>
      <c r="L101" s="48"/>
      <c r="O101" s="261"/>
    </row>
    <row r="102" spans="1:15" s="98" customFormat="1" ht="25.5">
      <c r="A102"/>
      <c r="B102" s="116" t="s">
        <v>176</v>
      </c>
      <c r="C102" s="130" t="s">
        <v>779</v>
      </c>
      <c r="D102" s="131" t="s">
        <v>811</v>
      </c>
      <c r="E102" s="168" t="s">
        <v>513</v>
      </c>
      <c r="F102" s="132" t="s">
        <v>136</v>
      </c>
      <c r="G102" s="133">
        <v>12.39</v>
      </c>
      <c r="H102" s="262">
        <v>1148.3499999999999</v>
      </c>
      <c r="I102" s="262">
        <f t="shared" si="21"/>
        <v>1380.0870299999999</v>
      </c>
      <c r="J102" s="262">
        <f t="shared" si="22"/>
        <v>17099.2783017</v>
      </c>
      <c r="K10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02" s="48" t="e">
        <f>MID(#REF!,1,IFERROR(FIND(".",#REF!)-1,0))</f>
        <v>#REF!</v>
      </c>
      <c r="O102" s="260"/>
    </row>
    <row r="103" spans="1:15" s="98" customFormat="1" ht="15">
      <c r="A103"/>
      <c r="B103" s="116" t="s">
        <v>177</v>
      </c>
      <c r="C103" s="130" t="s">
        <v>780</v>
      </c>
      <c r="D103" s="131" t="s">
        <v>811</v>
      </c>
      <c r="E103" s="168" t="s">
        <v>514</v>
      </c>
      <c r="F103" s="132" t="s">
        <v>136</v>
      </c>
      <c r="G103" s="133">
        <v>1.83</v>
      </c>
      <c r="H103" s="262">
        <v>1718.84</v>
      </c>
      <c r="I103" s="262">
        <f t="shared" si="21"/>
        <v>2065.701912</v>
      </c>
      <c r="J103" s="262">
        <f t="shared" si="22"/>
        <v>3780.2344989600001</v>
      </c>
      <c r="K10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03" s="48" t="e">
        <f>MID(#REF!,1,IFERROR(FIND(".",#REF!)-1,0))</f>
        <v>#REF!</v>
      </c>
      <c r="O103" s="260"/>
    </row>
    <row r="104" spans="1:15" s="98" customFormat="1" ht="15">
      <c r="A104"/>
      <c r="B104" s="116" t="s">
        <v>178</v>
      </c>
      <c r="C104" s="130" t="s">
        <v>781</v>
      </c>
      <c r="D104" s="131" t="s">
        <v>811</v>
      </c>
      <c r="E104" s="168" t="s">
        <v>515</v>
      </c>
      <c r="F104" s="132" t="s">
        <v>115</v>
      </c>
      <c r="G104" s="133">
        <v>3</v>
      </c>
      <c r="H104" s="262">
        <v>735.78</v>
      </c>
      <c r="I104" s="262">
        <f t="shared" si="21"/>
        <v>884.26040399999999</v>
      </c>
      <c r="J104" s="262">
        <f>I104*G104</f>
        <v>2652.7812119999999</v>
      </c>
      <c r="K10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04" s="48" t="e">
        <f>MID(#REF!,1,IFERROR(FIND(".",#REF!)-1,0))</f>
        <v>#REF!</v>
      </c>
      <c r="O104" s="260"/>
    </row>
    <row r="105" spans="1:15" s="98" customFormat="1" ht="15">
      <c r="A105"/>
      <c r="B105" s="318"/>
      <c r="C105" s="318" t="s">
        <v>390</v>
      </c>
      <c r="D105" s="318"/>
      <c r="E105" s="318"/>
      <c r="F105" s="318"/>
      <c r="G105" s="318"/>
      <c r="H105" s="319"/>
      <c r="I105" s="277" t="s">
        <v>4</v>
      </c>
      <c r="J105" s="278">
        <f>SUM(J101:J104)</f>
        <v>25087.623192179999</v>
      </c>
      <c r="K10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05" s="48" t="e">
        <f>MID(#REF!,1,IFERROR(FIND(".",#REF!)-1,0))</f>
        <v>#REF!</v>
      </c>
      <c r="O105" s="260"/>
    </row>
    <row r="106" spans="1:15" s="98" customFormat="1" ht="15">
      <c r="A106"/>
      <c r="B106" s="116">
        <v>14</v>
      </c>
      <c r="C106" s="130" t="s">
        <v>516</v>
      </c>
      <c r="D106" s="131"/>
      <c r="E106" s="168"/>
      <c r="F106" s="132"/>
      <c r="G106" s="133"/>
      <c r="H106" s="262"/>
      <c r="I106" s="262"/>
      <c r="J106" s="262"/>
      <c r="K10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06" s="48" t="e">
        <f>MID(#REF!,1,IFERROR(FIND(".",#REF!)-1,0))</f>
        <v>#REF!</v>
      </c>
      <c r="O106" s="260"/>
    </row>
    <row r="107" spans="1:15" s="98" customFormat="1" ht="15">
      <c r="A107"/>
      <c r="B107" s="116" t="s">
        <v>180</v>
      </c>
      <c r="C107" s="130" t="s">
        <v>782</v>
      </c>
      <c r="D107" s="131" t="s">
        <v>811</v>
      </c>
      <c r="E107" s="168" t="s">
        <v>517</v>
      </c>
      <c r="F107" s="132" t="s">
        <v>136</v>
      </c>
      <c r="G107" s="133">
        <v>4</v>
      </c>
      <c r="H107" s="262">
        <v>641.64</v>
      </c>
      <c r="I107" s="262">
        <f t="shared" ref="I107:I122" si="23">H107+H107*$I$9</f>
        <v>771.12295199999994</v>
      </c>
      <c r="J107" s="262">
        <f t="shared" ref="J107:J122" si="24">I107*G107</f>
        <v>3084.4918079999998</v>
      </c>
      <c r="K10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07" s="48" t="e">
        <f>MID(#REF!,1,IFERROR(FIND(".",#REF!)-1,0))</f>
        <v>#REF!</v>
      </c>
      <c r="O107" s="260"/>
    </row>
    <row r="108" spans="1:15" s="98" customFormat="1" ht="15">
      <c r="A108"/>
      <c r="B108" s="116" t="s">
        <v>181</v>
      </c>
      <c r="C108" s="130" t="s">
        <v>411</v>
      </c>
      <c r="D108" s="131" t="s">
        <v>811</v>
      </c>
      <c r="E108" s="168" t="s">
        <v>298</v>
      </c>
      <c r="F108" s="132" t="s">
        <v>25</v>
      </c>
      <c r="G108" s="133">
        <v>2</v>
      </c>
      <c r="H108" s="262">
        <v>44.07</v>
      </c>
      <c r="I108" s="262">
        <f t="shared" si="23"/>
        <v>52.963326000000002</v>
      </c>
      <c r="J108" s="262">
        <f t="shared" si="24"/>
        <v>105.926652</v>
      </c>
      <c r="K10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08" s="48" t="e">
        <f>MID(#REF!,1,IFERROR(FIND(".",#REF!)-1,0))</f>
        <v>#REF!</v>
      </c>
      <c r="O108" s="260"/>
    </row>
    <row r="109" spans="1:15" s="98" customFormat="1" ht="25.5">
      <c r="A109"/>
      <c r="B109" s="116" t="s">
        <v>374</v>
      </c>
      <c r="C109" s="130" t="s">
        <v>412</v>
      </c>
      <c r="D109" s="131" t="s">
        <v>811</v>
      </c>
      <c r="E109" s="168" t="s">
        <v>299</v>
      </c>
      <c r="F109" s="132" t="s">
        <v>25</v>
      </c>
      <c r="G109" s="133">
        <v>2</v>
      </c>
      <c r="H109" s="262">
        <v>83.45</v>
      </c>
      <c r="I109" s="262">
        <f t="shared" si="23"/>
        <v>100.29021</v>
      </c>
      <c r="J109" s="262">
        <f t="shared" si="24"/>
        <v>200.58042</v>
      </c>
      <c r="K10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09" s="48" t="e">
        <f>MID(#REF!,1,IFERROR(FIND(".",#REF!)-1,0))</f>
        <v>#REF!</v>
      </c>
      <c r="O109" s="260"/>
    </row>
    <row r="110" spans="1:15" s="98" customFormat="1" ht="25.5">
      <c r="A110"/>
      <c r="B110" s="116" t="s">
        <v>375</v>
      </c>
      <c r="C110" s="130" t="s">
        <v>408</v>
      </c>
      <c r="D110" s="131" t="s">
        <v>811</v>
      </c>
      <c r="E110" s="168" t="s">
        <v>368</v>
      </c>
      <c r="F110" s="132" t="s">
        <v>136</v>
      </c>
      <c r="G110" s="133">
        <v>0.6</v>
      </c>
      <c r="H110" s="262">
        <v>573.87</v>
      </c>
      <c r="I110" s="262">
        <f t="shared" si="23"/>
        <v>689.67696599999999</v>
      </c>
      <c r="J110" s="262">
        <f t="shared" si="24"/>
        <v>413.80617960000001</v>
      </c>
      <c r="K11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10" s="48" t="e">
        <f>MID(#REF!,1,IFERROR(FIND(".",#REF!)-1,0))</f>
        <v>#REF!</v>
      </c>
      <c r="O110" s="260"/>
    </row>
    <row r="111" spans="1:15" s="98" customFormat="1" ht="25.5">
      <c r="A111"/>
      <c r="B111" s="116" t="s">
        <v>518</v>
      </c>
      <c r="C111" s="130" t="s">
        <v>407</v>
      </c>
      <c r="D111" s="131" t="s">
        <v>811</v>
      </c>
      <c r="E111" s="168" t="s">
        <v>295</v>
      </c>
      <c r="F111" s="132" t="s">
        <v>185</v>
      </c>
      <c r="G111" s="133">
        <v>2</v>
      </c>
      <c r="H111" s="262">
        <v>638.87</v>
      </c>
      <c r="I111" s="262">
        <f t="shared" si="23"/>
        <v>767.79396599999995</v>
      </c>
      <c r="J111" s="262">
        <f t="shared" si="24"/>
        <v>1535.5879319999999</v>
      </c>
      <c r="K11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11" s="48" t="e">
        <f>MID(#REF!,1,IFERROR(FIND(".",#REF!)-1,0))</f>
        <v>#REF!</v>
      </c>
      <c r="O111" s="260"/>
    </row>
    <row r="112" spans="1:15" s="98" customFormat="1" ht="15">
      <c r="A112"/>
      <c r="B112" s="116" t="s">
        <v>519</v>
      </c>
      <c r="C112" s="130" t="s">
        <v>783</v>
      </c>
      <c r="D112" s="131" t="s">
        <v>811</v>
      </c>
      <c r="E112" s="168" t="s">
        <v>520</v>
      </c>
      <c r="F112" s="132" t="s">
        <v>25</v>
      </c>
      <c r="G112" s="133">
        <v>2</v>
      </c>
      <c r="H112" s="262">
        <v>42.27</v>
      </c>
      <c r="I112" s="262">
        <f t="shared" si="23"/>
        <v>50.800086000000007</v>
      </c>
      <c r="J112" s="262">
        <f t="shared" si="24"/>
        <v>101.60017200000001</v>
      </c>
      <c r="K11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12" s="48" t="e">
        <f>MID(#REF!,1,IFERROR(FIND(".",#REF!)-1,0))</f>
        <v>#REF!</v>
      </c>
      <c r="O112" s="260"/>
    </row>
    <row r="113" spans="1:15" s="98" customFormat="1" ht="15">
      <c r="A113"/>
      <c r="B113" s="116" t="s">
        <v>521</v>
      </c>
      <c r="C113" s="130" t="s">
        <v>409</v>
      </c>
      <c r="D113" s="131" t="s">
        <v>811</v>
      </c>
      <c r="E113" s="168" t="s">
        <v>296</v>
      </c>
      <c r="F113" s="132" t="s">
        <v>25</v>
      </c>
      <c r="G113" s="133">
        <v>2</v>
      </c>
      <c r="H113" s="262">
        <v>110.67</v>
      </c>
      <c r="I113" s="262">
        <f t="shared" si="23"/>
        <v>133.00320600000001</v>
      </c>
      <c r="J113" s="262">
        <f t="shared" si="24"/>
        <v>266.00641200000001</v>
      </c>
      <c r="K11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13" s="48" t="e">
        <f>MID(#REF!,1,IFERROR(FIND(".",#REF!)-1,0))</f>
        <v>#REF!</v>
      </c>
      <c r="O113" s="260"/>
    </row>
    <row r="114" spans="1:15" s="98" customFormat="1" ht="15">
      <c r="A114"/>
      <c r="B114" s="116" t="s">
        <v>522</v>
      </c>
      <c r="C114" s="130" t="s">
        <v>413</v>
      </c>
      <c r="D114" s="131" t="s">
        <v>811</v>
      </c>
      <c r="E114" s="168" t="s">
        <v>369</v>
      </c>
      <c r="F114" s="132" t="s">
        <v>25</v>
      </c>
      <c r="G114" s="133">
        <v>2</v>
      </c>
      <c r="H114" s="262">
        <v>108</v>
      </c>
      <c r="I114" s="262">
        <f t="shared" si="23"/>
        <v>129.7944</v>
      </c>
      <c r="J114" s="262">
        <f t="shared" si="24"/>
        <v>259.58879999999999</v>
      </c>
      <c r="K11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14" s="48" t="e">
        <f>MID(#REF!,1,IFERROR(FIND(".",#REF!)-1,0))</f>
        <v>#REF!</v>
      </c>
      <c r="O114" s="260"/>
    </row>
    <row r="115" spans="1:15" s="98" customFormat="1" ht="15">
      <c r="A115"/>
      <c r="B115" s="116" t="s">
        <v>523</v>
      </c>
      <c r="C115" s="130" t="s">
        <v>784</v>
      </c>
      <c r="D115" s="131" t="s">
        <v>811</v>
      </c>
      <c r="E115" s="168" t="s">
        <v>524</v>
      </c>
      <c r="F115" s="132" t="s">
        <v>136</v>
      </c>
      <c r="G115" s="133">
        <v>1.75</v>
      </c>
      <c r="H115" s="262">
        <v>822.57</v>
      </c>
      <c r="I115" s="262">
        <f t="shared" si="23"/>
        <v>988.56462600000009</v>
      </c>
      <c r="J115" s="262">
        <f t="shared" si="24"/>
        <v>1729.9880955000001</v>
      </c>
      <c r="K11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15" s="48" t="e">
        <f>MID(#REF!,1,IFERROR(FIND(".",#REF!)-1,0))</f>
        <v>#REF!</v>
      </c>
      <c r="O115" s="260"/>
    </row>
    <row r="116" spans="1:15" s="98" customFormat="1" ht="25.5">
      <c r="A116"/>
      <c r="B116" s="116" t="s">
        <v>525</v>
      </c>
      <c r="C116" s="130" t="s">
        <v>785</v>
      </c>
      <c r="D116" s="131" t="s">
        <v>811</v>
      </c>
      <c r="E116" s="168" t="s">
        <v>526</v>
      </c>
      <c r="F116" s="132" t="s">
        <v>25</v>
      </c>
      <c r="G116" s="133">
        <v>2</v>
      </c>
      <c r="H116" s="262">
        <v>240.37</v>
      </c>
      <c r="I116" s="262">
        <f t="shared" si="23"/>
        <v>288.876666</v>
      </c>
      <c r="J116" s="262">
        <f t="shared" si="24"/>
        <v>577.753332</v>
      </c>
      <c r="K116" s="49"/>
      <c r="L116" s="48"/>
      <c r="O116" s="261"/>
    </row>
    <row r="117" spans="1:15" s="98" customFormat="1" ht="25.5">
      <c r="A117"/>
      <c r="B117" s="116" t="s">
        <v>527</v>
      </c>
      <c r="C117" s="130" t="s">
        <v>786</v>
      </c>
      <c r="D117" s="131" t="s">
        <v>811</v>
      </c>
      <c r="E117" s="168" t="s">
        <v>528</v>
      </c>
      <c r="F117" s="132" t="s">
        <v>25</v>
      </c>
      <c r="G117" s="133">
        <v>2</v>
      </c>
      <c r="H117" s="262">
        <v>97.16</v>
      </c>
      <c r="I117" s="262">
        <f t="shared" si="23"/>
        <v>116.76688799999999</v>
      </c>
      <c r="J117" s="262">
        <f t="shared" si="24"/>
        <v>233.53377599999999</v>
      </c>
      <c r="K11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17" s="48" t="e">
        <f>MID(#REF!,1,IFERROR(FIND(".",#REF!)-1,0))</f>
        <v>#REF!</v>
      </c>
      <c r="O117" s="260"/>
    </row>
    <row r="118" spans="1:15" s="98" customFormat="1" ht="25.5">
      <c r="A118"/>
      <c r="B118" s="116" t="s">
        <v>529</v>
      </c>
      <c r="C118" s="130" t="s">
        <v>787</v>
      </c>
      <c r="D118" s="131" t="s">
        <v>811</v>
      </c>
      <c r="E118" s="168" t="s">
        <v>530</v>
      </c>
      <c r="F118" s="132" t="s">
        <v>25</v>
      </c>
      <c r="G118" s="133">
        <v>2</v>
      </c>
      <c r="H118" s="262">
        <v>82.64</v>
      </c>
      <c r="I118" s="262">
        <f t="shared" si="23"/>
        <v>99.316752000000008</v>
      </c>
      <c r="J118" s="262">
        <f t="shared" si="24"/>
        <v>198.63350400000002</v>
      </c>
      <c r="K11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18" s="48" t="e">
        <f>MID(#REF!,1,IFERROR(FIND(".",#REF!)-1,0))</f>
        <v>#REF!</v>
      </c>
      <c r="O118" s="260"/>
    </row>
    <row r="119" spans="1:15" s="98" customFormat="1" ht="15">
      <c r="A119"/>
      <c r="B119" s="116" t="s">
        <v>531</v>
      </c>
      <c r="C119" s="130" t="s">
        <v>788</v>
      </c>
      <c r="D119" s="131" t="s">
        <v>811</v>
      </c>
      <c r="E119" s="168" t="s">
        <v>532</v>
      </c>
      <c r="F119" s="132" t="s">
        <v>25</v>
      </c>
      <c r="G119" s="133">
        <v>1</v>
      </c>
      <c r="H119" s="262">
        <v>474.32</v>
      </c>
      <c r="I119" s="262">
        <f t="shared" si="23"/>
        <v>570.03777600000001</v>
      </c>
      <c r="J119" s="262">
        <f t="shared" si="24"/>
        <v>570.03777600000001</v>
      </c>
      <c r="K11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19" s="48" t="e">
        <f>MID(#REF!,1,IFERROR(FIND(".",#REF!)-1,0))</f>
        <v>#REF!</v>
      </c>
      <c r="O119" s="260"/>
    </row>
    <row r="120" spans="1:15" s="98" customFormat="1" ht="15">
      <c r="A120"/>
      <c r="B120" s="116" t="s">
        <v>533</v>
      </c>
      <c r="C120" s="130" t="s">
        <v>789</v>
      </c>
      <c r="D120" s="131" t="s">
        <v>811</v>
      </c>
      <c r="E120" s="168" t="s">
        <v>534</v>
      </c>
      <c r="F120" s="132" t="s">
        <v>25</v>
      </c>
      <c r="G120" s="133">
        <v>2</v>
      </c>
      <c r="H120" s="262">
        <v>160.16</v>
      </c>
      <c r="I120" s="262">
        <f t="shared" si="23"/>
        <v>192.480288</v>
      </c>
      <c r="J120" s="262">
        <f t="shared" si="24"/>
        <v>384.960576</v>
      </c>
      <c r="K12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20" s="48" t="e">
        <f>MID(#REF!,1,IFERROR(FIND(".",#REF!)-1,0))</f>
        <v>#REF!</v>
      </c>
      <c r="O120" s="260"/>
    </row>
    <row r="121" spans="1:15" s="98" customFormat="1" ht="15">
      <c r="A121"/>
      <c r="B121" s="116" t="s">
        <v>535</v>
      </c>
      <c r="C121" s="130" t="s">
        <v>410</v>
      </c>
      <c r="D121" s="131" t="s">
        <v>811</v>
      </c>
      <c r="E121" s="168" t="s">
        <v>297</v>
      </c>
      <c r="F121" s="132" t="s">
        <v>25</v>
      </c>
      <c r="G121" s="133">
        <v>2</v>
      </c>
      <c r="H121" s="262">
        <v>44.56</v>
      </c>
      <c r="I121" s="262">
        <f t="shared" si="23"/>
        <v>53.552208000000007</v>
      </c>
      <c r="J121" s="262">
        <f t="shared" si="24"/>
        <v>107.10441600000001</v>
      </c>
      <c r="K12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21" s="48" t="e">
        <f>MID(#REF!,1,IFERROR(FIND(".",#REF!)-1,0))</f>
        <v>#REF!</v>
      </c>
      <c r="O121" s="260"/>
    </row>
    <row r="122" spans="1:15" s="98" customFormat="1" ht="25.5">
      <c r="A122"/>
      <c r="B122" s="116" t="s">
        <v>536</v>
      </c>
      <c r="C122" s="130" t="s">
        <v>790</v>
      </c>
      <c r="D122" s="131" t="s">
        <v>811</v>
      </c>
      <c r="E122" s="168" t="s">
        <v>537</v>
      </c>
      <c r="F122" s="132" t="s">
        <v>25</v>
      </c>
      <c r="G122" s="133">
        <v>2</v>
      </c>
      <c r="H122" s="262">
        <v>206.23</v>
      </c>
      <c r="I122" s="262">
        <f t="shared" si="23"/>
        <v>247.84721399999998</v>
      </c>
      <c r="J122" s="262">
        <f t="shared" si="24"/>
        <v>495.69442799999996</v>
      </c>
      <c r="K12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22" s="48" t="e">
        <f>MID(#REF!,1,IFERROR(FIND(".",#REF!)-1,0))</f>
        <v>#REF!</v>
      </c>
      <c r="O122" s="260"/>
    </row>
    <row r="123" spans="1:15" s="98" customFormat="1" ht="15">
      <c r="A123"/>
      <c r="B123" s="318"/>
      <c r="C123" s="318" t="s">
        <v>390</v>
      </c>
      <c r="D123" s="318"/>
      <c r="E123" s="318"/>
      <c r="F123" s="318"/>
      <c r="G123" s="318"/>
      <c r="H123" s="319"/>
      <c r="I123" s="277" t="s">
        <v>4</v>
      </c>
      <c r="J123" s="278">
        <f>SUM(J107:J122)</f>
        <v>10265.294279099999</v>
      </c>
      <c r="K12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23" s="48" t="e">
        <f>MID(#REF!,1,IFERROR(FIND(".",#REF!)-1,0))</f>
        <v>#REF!</v>
      </c>
      <c r="O123" s="260"/>
    </row>
    <row r="124" spans="1:15" s="98" customFormat="1" ht="15">
      <c r="A124"/>
      <c r="B124" s="116">
        <v>15</v>
      </c>
      <c r="C124" s="130" t="s">
        <v>538</v>
      </c>
      <c r="D124" s="131"/>
      <c r="E124" s="168"/>
      <c r="F124" s="132"/>
      <c r="G124" s="133"/>
      <c r="H124" s="262"/>
      <c r="I124" s="262"/>
      <c r="J124" s="262"/>
      <c r="K12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24" s="48" t="e">
        <f>MID(#REF!,1,IFERROR(FIND(".",#REF!)-1,0))</f>
        <v>#REF!</v>
      </c>
      <c r="O124" s="260"/>
    </row>
    <row r="125" spans="1:15" s="98" customFormat="1" ht="15">
      <c r="A125"/>
      <c r="B125" s="116" t="s">
        <v>183</v>
      </c>
      <c r="C125" s="130" t="s">
        <v>539</v>
      </c>
      <c r="D125" s="131" t="s">
        <v>146</v>
      </c>
      <c r="E125" s="168" t="s">
        <v>589</v>
      </c>
      <c r="F125" s="132" t="s">
        <v>25</v>
      </c>
      <c r="G125" s="133">
        <v>1</v>
      </c>
      <c r="H125" s="262">
        <v>7560</v>
      </c>
      <c r="I125" s="262">
        <f t="shared" ref="I125:I126" si="25">H125+H125*$I$9</f>
        <v>9085.6080000000002</v>
      </c>
      <c r="J125" s="262">
        <f t="shared" ref="J125:J126" si="26">I125*G125</f>
        <v>9085.6080000000002</v>
      </c>
      <c r="K12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25" s="48" t="e">
        <f>MID(#REF!,1,IFERROR(FIND(".",#REF!)-1,0))</f>
        <v>#REF!</v>
      </c>
      <c r="O125" s="260"/>
    </row>
    <row r="126" spans="1:15" s="98" customFormat="1" ht="15">
      <c r="A126"/>
      <c r="B126" s="116" t="s">
        <v>184</v>
      </c>
      <c r="C126" s="130" t="s">
        <v>540</v>
      </c>
      <c r="D126" s="131" t="s">
        <v>146</v>
      </c>
      <c r="E126" s="168" t="s">
        <v>590</v>
      </c>
      <c r="F126" s="132" t="s">
        <v>25</v>
      </c>
      <c r="G126" s="133">
        <v>1</v>
      </c>
      <c r="H126" s="262">
        <v>8900</v>
      </c>
      <c r="I126" s="262">
        <f t="shared" si="25"/>
        <v>10696.02</v>
      </c>
      <c r="J126" s="262">
        <f t="shared" si="26"/>
        <v>10696.02</v>
      </c>
      <c r="K12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26" s="48" t="e">
        <f>MID(#REF!,1,IFERROR(FIND(".",#REF!)-1,0))</f>
        <v>#REF!</v>
      </c>
      <c r="O126" s="260"/>
    </row>
    <row r="127" spans="1:15" s="98" customFormat="1" ht="15">
      <c r="A127"/>
      <c r="B127" s="318"/>
      <c r="C127" s="318" t="s">
        <v>390</v>
      </c>
      <c r="D127" s="318"/>
      <c r="E127" s="318"/>
      <c r="F127" s="318"/>
      <c r="G127" s="318"/>
      <c r="H127" s="319"/>
      <c r="I127" s="277" t="s">
        <v>4</v>
      </c>
      <c r="J127" s="278">
        <f>SUM(J125:J126)</f>
        <v>19781.628000000001</v>
      </c>
      <c r="K12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27" s="48" t="e">
        <f>MID(#REF!,1,IFERROR(FIND(".",#REF!)-1,0))</f>
        <v>#REF!</v>
      </c>
      <c r="O127" s="260"/>
    </row>
    <row r="128" spans="1:15" s="98" customFormat="1" ht="15">
      <c r="A128"/>
      <c r="B128" s="116">
        <v>16</v>
      </c>
      <c r="C128" s="130" t="s">
        <v>541</v>
      </c>
      <c r="D128" s="131"/>
      <c r="E128" s="168"/>
      <c r="F128" s="132"/>
      <c r="G128" s="133"/>
      <c r="H128" s="262"/>
      <c r="I128" s="262"/>
      <c r="J128" s="262"/>
      <c r="K12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28" s="48" t="e">
        <f>MID(#REF!,1,IFERROR(FIND(".",#REF!)-1,0))</f>
        <v>#REF!</v>
      </c>
      <c r="O128" s="260"/>
    </row>
    <row r="129" spans="1:15" s="98" customFormat="1" ht="25.5">
      <c r="A129"/>
      <c r="B129" s="116" t="s">
        <v>188</v>
      </c>
      <c r="C129" s="130" t="s">
        <v>423</v>
      </c>
      <c r="D129" s="131" t="s">
        <v>811</v>
      </c>
      <c r="E129" s="168" t="s">
        <v>373</v>
      </c>
      <c r="F129" s="132" t="s">
        <v>115</v>
      </c>
      <c r="G129" s="133">
        <v>24</v>
      </c>
      <c r="H129" s="262">
        <v>103.3</v>
      </c>
      <c r="I129" s="262">
        <f t="shared" ref="I129:I135" si="27">H129+H129*$I$9</f>
        <v>124.14594</v>
      </c>
      <c r="J129" s="262">
        <f t="shared" ref="J129:J135" si="28">I129*G129</f>
        <v>2979.5025599999999</v>
      </c>
      <c r="K129" s="49"/>
      <c r="L129" s="48"/>
      <c r="O129" s="261"/>
    </row>
    <row r="130" spans="1:15" s="98" customFormat="1" ht="25.5">
      <c r="A130"/>
      <c r="B130" s="116" t="s">
        <v>377</v>
      </c>
      <c r="C130" s="130" t="s">
        <v>791</v>
      </c>
      <c r="D130" s="131" t="s">
        <v>811</v>
      </c>
      <c r="E130" s="168" t="s">
        <v>542</v>
      </c>
      <c r="F130" s="132" t="s">
        <v>115</v>
      </c>
      <c r="G130" s="133">
        <v>90</v>
      </c>
      <c r="H130" s="262">
        <v>73.42</v>
      </c>
      <c r="I130" s="262">
        <f t="shared" si="27"/>
        <v>88.236156000000008</v>
      </c>
      <c r="J130" s="262">
        <f t="shared" si="28"/>
        <v>7941.2540400000007</v>
      </c>
      <c r="K13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30" s="48" t="e">
        <f>MID(#REF!,1,IFERROR(FIND(".",#REF!)-1,0))</f>
        <v>#REF!</v>
      </c>
      <c r="O130" s="260"/>
    </row>
    <row r="131" spans="1:15" s="98" customFormat="1" ht="25.5">
      <c r="A131"/>
      <c r="B131" s="116" t="s">
        <v>378</v>
      </c>
      <c r="C131" s="130" t="s">
        <v>424</v>
      </c>
      <c r="D131" s="131" t="s">
        <v>811</v>
      </c>
      <c r="E131" s="168" t="s">
        <v>300</v>
      </c>
      <c r="F131" s="132" t="s">
        <v>115</v>
      </c>
      <c r="G131" s="133">
        <v>18</v>
      </c>
      <c r="H131" s="262">
        <v>49.94</v>
      </c>
      <c r="I131" s="262">
        <f t="shared" si="27"/>
        <v>60.017891999999996</v>
      </c>
      <c r="J131" s="262">
        <f t="shared" si="28"/>
        <v>1080.322056</v>
      </c>
      <c r="K13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31" s="48" t="e">
        <f>MID(#REF!,1,IFERROR(FIND(".",#REF!)-1,0))</f>
        <v>#REF!</v>
      </c>
      <c r="O131" s="260"/>
    </row>
    <row r="132" spans="1:15" s="98" customFormat="1" ht="25.5">
      <c r="A132"/>
      <c r="B132" s="116" t="s">
        <v>379</v>
      </c>
      <c r="C132" s="130" t="s">
        <v>425</v>
      </c>
      <c r="D132" s="131" t="s">
        <v>811</v>
      </c>
      <c r="E132" s="168" t="s">
        <v>301</v>
      </c>
      <c r="F132" s="132" t="s">
        <v>115</v>
      </c>
      <c r="G132" s="133">
        <v>12</v>
      </c>
      <c r="H132" s="262">
        <v>37</v>
      </c>
      <c r="I132" s="262">
        <f t="shared" si="27"/>
        <v>44.4666</v>
      </c>
      <c r="J132" s="262">
        <f t="shared" si="28"/>
        <v>533.5992</v>
      </c>
      <c r="K13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32" s="48" t="e">
        <f>MID(#REF!,1,IFERROR(FIND(".",#REF!)-1,0))</f>
        <v>#REF!</v>
      </c>
      <c r="O132" s="260"/>
    </row>
    <row r="133" spans="1:15" s="98" customFormat="1" ht="25.5">
      <c r="A133"/>
      <c r="B133" s="116" t="s">
        <v>380</v>
      </c>
      <c r="C133" s="130" t="s">
        <v>426</v>
      </c>
      <c r="D133" s="131" t="s">
        <v>811</v>
      </c>
      <c r="E133" s="168" t="s">
        <v>302</v>
      </c>
      <c r="F133" s="132" t="s">
        <v>115</v>
      </c>
      <c r="G133" s="133">
        <v>18</v>
      </c>
      <c r="H133" s="262">
        <v>28.4</v>
      </c>
      <c r="I133" s="262">
        <f t="shared" si="27"/>
        <v>34.131119999999996</v>
      </c>
      <c r="J133" s="262">
        <f t="shared" si="28"/>
        <v>614.36015999999995</v>
      </c>
      <c r="K13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33" s="48" t="e">
        <f>MID(#REF!,1,IFERROR(FIND(".",#REF!)-1,0))</f>
        <v>#REF!</v>
      </c>
      <c r="O133" s="260"/>
    </row>
    <row r="134" spans="1:15" s="98" customFormat="1" ht="25.5">
      <c r="A134"/>
      <c r="B134" s="116" t="s">
        <v>381</v>
      </c>
      <c r="C134" s="130" t="s">
        <v>792</v>
      </c>
      <c r="D134" s="131" t="s">
        <v>811</v>
      </c>
      <c r="E134" s="168" t="s">
        <v>543</v>
      </c>
      <c r="F134" s="132" t="s">
        <v>25</v>
      </c>
      <c r="G134" s="133">
        <v>2</v>
      </c>
      <c r="H134" s="262">
        <v>953.91</v>
      </c>
      <c r="I134" s="262">
        <f t="shared" si="27"/>
        <v>1146.409038</v>
      </c>
      <c r="J134" s="262">
        <f t="shared" si="28"/>
        <v>2292.818076</v>
      </c>
      <c r="K13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34" s="48" t="e">
        <f>MID(#REF!,1,IFERROR(FIND(".",#REF!)-1,0))</f>
        <v>#REF!</v>
      </c>
      <c r="O134" s="260"/>
    </row>
    <row r="135" spans="1:15" s="98" customFormat="1" ht="15">
      <c r="A135"/>
      <c r="B135" s="116" t="s">
        <v>544</v>
      </c>
      <c r="C135" s="130" t="s">
        <v>793</v>
      </c>
      <c r="D135" s="131" t="s">
        <v>811</v>
      </c>
      <c r="E135" s="168" t="s">
        <v>545</v>
      </c>
      <c r="F135" s="132" t="s">
        <v>25</v>
      </c>
      <c r="G135" s="133">
        <v>2</v>
      </c>
      <c r="H135" s="262">
        <v>92.06</v>
      </c>
      <c r="I135" s="262">
        <f t="shared" si="27"/>
        <v>110.637708</v>
      </c>
      <c r="J135" s="262">
        <f t="shared" si="28"/>
        <v>221.27541600000001</v>
      </c>
      <c r="K13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35" s="48" t="e">
        <f>MID(#REF!,1,IFERROR(FIND(".",#REF!)-1,0))</f>
        <v>#REF!</v>
      </c>
      <c r="O135" s="260"/>
    </row>
    <row r="136" spans="1:15" s="98" customFormat="1" ht="15">
      <c r="A136"/>
      <c r="B136" s="318"/>
      <c r="C136" s="318" t="s">
        <v>390</v>
      </c>
      <c r="D136" s="318"/>
      <c r="E136" s="318"/>
      <c r="F136" s="318"/>
      <c r="G136" s="318"/>
      <c r="H136" s="319"/>
      <c r="I136" s="277" t="s">
        <v>4</v>
      </c>
      <c r="J136" s="278">
        <f>SUM(J129:J135)</f>
        <v>15663.131508000002</v>
      </c>
      <c r="K13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36" s="48" t="e">
        <f>MID(#REF!,1,IFERROR(FIND(".",#REF!)-1,0))</f>
        <v>#REF!</v>
      </c>
      <c r="O136" s="260"/>
    </row>
    <row r="137" spans="1:15" s="98" customFormat="1" ht="15">
      <c r="A137"/>
      <c r="B137" s="116">
        <v>17</v>
      </c>
      <c r="C137" s="130" t="s">
        <v>546</v>
      </c>
      <c r="D137" s="131"/>
      <c r="E137" s="168"/>
      <c r="F137" s="132"/>
      <c r="G137" s="133"/>
      <c r="H137" s="262"/>
      <c r="I137" s="262"/>
      <c r="J137" s="262"/>
      <c r="K13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37" s="48" t="e">
        <f>MID(#REF!,1,IFERROR(FIND(".",#REF!)-1,0))</f>
        <v>#REF!</v>
      </c>
      <c r="O137" s="260"/>
    </row>
    <row r="138" spans="1:15" s="98" customFormat="1" ht="38.25">
      <c r="A138"/>
      <c r="B138" s="116" t="s">
        <v>190</v>
      </c>
      <c r="C138" s="130" t="s">
        <v>428</v>
      </c>
      <c r="D138" s="131" t="s">
        <v>811</v>
      </c>
      <c r="E138" s="168" t="s">
        <v>304</v>
      </c>
      <c r="F138" s="132" t="s">
        <v>115</v>
      </c>
      <c r="G138" s="133">
        <v>6</v>
      </c>
      <c r="H138" s="262">
        <v>42.62</v>
      </c>
      <c r="I138" s="262">
        <f t="shared" ref="I138:I142" si="29">H138+H138*$I$9</f>
        <v>51.220715999999996</v>
      </c>
      <c r="J138" s="262">
        <f t="shared" ref="J138:J142" si="30">I138*G138</f>
        <v>307.324296</v>
      </c>
      <c r="K13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38" s="48" t="e">
        <f>MID(#REF!,1,IFERROR(FIND(".",#REF!)-1,0))</f>
        <v>#REF!</v>
      </c>
      <c r="O138" s="260"/>
    </row>
    <row r="139" spans="1:15" s="98" customFormat="1" ht="38.25">
      <c r="A139"/>
      <c r="B139" s="116" t="s">
        <v>191</v>
      </c>
      <c r="C139" s="130" t="s">
        <v>427</v>
      </c>
      <c r="D139" s="131" t="s">
        <v>811</v>
      </c>
      <c r="E139" s="168" t="s">
        <v>303</v>
      </c>
      <c r="F139" s="132" t="s">
        <v>115</v>
      </c>
      <c r="G139" s="133">
        <v>50</v>
      </c>
      <c r="H139" s="262">
        <v>71.709999999999994</v>
      </c>
      <c r="I139" s="262">
        <f t="shared" si="29"/>
        <v>86.181077999999985</v>
      </c>
      <c r="J139" s="262">
        <f t="shared" si="30"/>
        <v>4309.053899999999</v>
      </c>
      <c r="K13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39" s="48" t="e">
        <f>MID(#REF!,1,IFERROR(FIND(".",#REF!)-1,0))</f>
        <v>#REF!</v>
      </c>
      <c r="O139" s="260"/>
    </row>
    <row r="140" spans="1:15" s="98" customFormat="1" ht="25.5">
      <c r="A140"/>
      <c r="B140" s="116" t="s">
        <v>192</v>
      </c>
      <c r="C140" s="130" t="s">
        <v>429</v>
      </c>
      <c r="D140" s="131" t="s">
        <v>811</v>
      </c>
      <c r="E140" s="168" t="s">
        <v>305</v>
      </c>
      <c r="F140" s="132" t="s">
        <v>115</v>
      </c>
      <c r="G140" s="133">
        <v>18</v>
      </c>
      <c r="H140" s="262">
        <v>32.979999999999997</v>
      </c>
      <c r="I140" s="262">
        <f t="shared" si="29"/>
        <v>39.635363999999996</v>
      </c>
      <c r="J140" s="262">
        <f t="shared" si="30"/>
        <v>713.43655199999989</v>
      </c>
      <c r="K14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40" s="48" t="e">
        <f>MID(#REF!,1,IFERROR(FIND(".",#REF!)-1,0))</f>
        <v>#REF!</v>
      </c>
      <c r="O140" s="260"/>
    </row>
    <row r="141" spans="1:15" s="98" customFormat="1" ht="25.5">
      <c r="A141"/>
      <c r="B141" s="116" t="s">
        <v>547</v>
      </c>
      <c r="C141" s="130" t="s">
        <v>794</v>
      </c>
      <c r="D141" s="131" t="s">
        <v>811</v>
      </c>
      <c r="E141" s="168" t="s">
        <v>548</v>
      </c>
      <c r="F141" s="132" t="s">
        <v>25</v>
      </c>
      <c r="G141" s="133">
        <v>4</v>
      </c>
      <c r="H141" s="262">
        <v>77.45</v>
      </c>
      <c r="I141" s="262">
        <f t="shared" si="29"/>
        <v>93.07941000000001</v>
      </c>
      <c r="J141" s="262">
        <f t="shared" si="30"/>
        <v>372.31764000000004</v>
      </c>
      <c r="K14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41" s="48" t="e">
        <f>MID(#REF!,1,IFERROR(FIND(".",#REF!)-1,0))</f>
        <v>#REF!</v>
      </c>
      <c r="O141" s="260"/>
    </row>
    <row r="142" spans="1:15" s="98" customFormat="1" ht="38.25">
      <c r="A142"/>
      <c r="B142" s="116" t="s">
        <v>549</v>
      </c>
      <c r="C142" s="130" t="s">
        <v>550</v>
      </c>
      <c r="D142" s="131" t="s">
        <v>26</v>
      </c>
      <c r="E142" s="168" t="s">
        <v>551</v>
      </c>
      <c r="F142" s="132" t="s">
        <v>25</v>
      </c>
      <c r="G142" s="133">
        <v>4</v>
      </c>
      <c r="H142" s="262">
        <v>443.71</v>
      </c>
      <c r="I142" s="262">
        <f t="shared" si="29"/>
        <v>533.25067799999999</v>
      </c>
      <c r="J142" s="262">
        <f t="shared" si="30"/>
        <v>2133.002712</v>
      </c>
      <c r="K14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42" s="48" t="e">
        <f>MID(#REF!,1,IFERROR(FIND(".",#REF!)-1,0))</f>
        <v>#REF!</v>
      </c>
      <c r="O142" s="260"/>
    </row>
    <row r="143" spans="1:15" s="98" customFormat="1" ht="15">
      <c r="A143"/>
      <c r="B143" s="318"/>
      <c r="C143" s="318" t="s">
        <v>390</v>
      </c>
      <c r="D143" s="318"/>
      <c r="E143" s="318"/>
      <c r="F143" s="318"/>
      <c r="G143" s="318"/>
      <c r="H143" s="319"/>
      <c r="I143" s="277" t="s">
        <v>4</v>
      </c>
      <c r="J143" s="278">
        <f>SUM(J138:J142)</f>
        <v>7835.1350999999995</v>
      </c>
      <c r="K14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43" s="48" t="e">
        <f>MID(#REF!,1,IFERROR(FIND(".",#REF!)-1,0))</f>
        <v>#REF!</v>
      </c>
      <c r="O143" s="260"/>
    </row>
    <row r="144" spans="1:15" s="98" customFormat="1" ht="15">
      <c r="A144"/>
      <c r="B144" s="116">
        <v>18</v>
      </c>
      <c r="C144" s="130" t="s">
        <v>186</v>
      </c>
      <c r="D144" s="131"/>
      <c r="E144" s="168"/>
      <c r="F144" s="132"/>
      <c r="G144" s="133"/>
      <c r="H144" s="262"/>
      <c r="I144" s="262"/>
      <c r="J144" s="262"/>
      <c r="K14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44" s="48" t="e">
        <f>MID(#REF!,1,IFERROR(FIND(".",#REF!)-1,0))</f>
        <v>#REF!</v>
      </c>
      <c r="O144" s="260"/>
    </row>
    <row r="145" spans="1:15" s="98" customFormat="1" ht="15">
      <c r="A145"/>
      <c r="B145" s="116" t="s">
        <v>194</v>
      </c>
      <c r="C145" s="130" t="s">
        <v>418</v>
      </c>
      <c r="D145" s="131" t="s">
        <v>811</v>
      </c>
      <c r="E145" s="168" t="s">
        <v>308</v>
      </c>
      <c r="F145" s="132" t="s">
        <v>25</v>
      </c>
      <c r="G145" s="133">
        <v>10</v>
      </c>
      <c r="H145" s="262">
        <v>18.27</v>
      </c>
      <c r="I145" s="262">
        <f t="shared" ref="I145:I166" si="31">H145+H145*$I$9</f>
        <v>21.956886000000001</v>
      </c>
      <c r="J145" s="262">
        <f t="shared" ref="J145:J166" si="32">I145*G145</f>
        <v>219.56886</v>
      </c>
      <c r="K14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45" s="48" t="e">
        <f>MID(#REF!,1,IFERROR(FIND(".",#REF!)-1,0))</f>
        <v>#REF!</v>
      </c>
      <c r="O145" s="260"/>
    </row>
    <row r="146" spans="1:15" s="98" customFormat="1" ht="15">
      <c r="A146"/>
      <c r="B146" s="116" t="s">
        <v>552</v>
      </c>
      <c r="C146" s="130" t="s">
        <v>414</v>
      </c>
      <c r="D146" s="131" t="s">
        <v>811</v>
      </c>
      <c r="E146" s="168" t="s">
        <v>311</v>
      </c>
      <c r="F146" s="132" t="s">
        <v>185</v>
      </c>
      <c r="G146" s="133">
        <v>6</v>
      </c>
      <c r="H146" s="262">
        <v>22.84</v>
      </c>
      <c r="I146" s="262">
        <f t="shared" si="31"/>
        <v>27.449112</v>
      </c>
      <c r="J146" s="262">
        <f t="shared" si="32"/>
        <v>164.694672</v>
      </c>
      <c r="K14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46" s="48" t="e">
        <f>MID(#REF!,1,IFERROR(FIND(".",#REF!)-1,0))</f>
        <v>#REF!</v>
      </c>
      <c r="O146" s="260"/>
    </row>
    <row r="147" spans="1:15" s="98" customFormat="1" ht="15">
      <c r="A147"/>
      <c r="B147" s="116" t="s">
        <v>553</v>
      </c>
      <c r="C147" s="130" t="s">
        <v>415</v>
      </c>
      <c r="D147" s="131" t="s">
        <v>811</v>
      </c>
      <c r="E147" s="168" t="s">
        <v>310</v>
      </c>
      <c r="F147" s="132" t="s">
        <v>185</v>
      </c>
      <c r="G147" s="133">
        <v>6</v>
      </c>
      <c r="H147" s="262">
        <v>24.14</v>
      </c>
      <c r="I147" s="262">
        <f t="shared" si="31"/>
        <v>29.011452000000002</v>
      </c>
      <c r="J147" s="262">
        <f t="shared" si="32"/>
        <v>174.068712</v>
      </c>
      <c r="K14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47" s="48" t="e">
        <f>MID(#REF!,1,IFERROR(FIND(".",#REF!)-1,0))</f>
        <v>#REF!</v>
      </c>
      <c r="O147" s="260"/>
    </row>
    <row r="148" spans="1:15" s="98" customFormat="1" ht="15">
      <c r="A148"/>
      <c r="B148" s="116" t="s">
        <v>554</v>
      </c>
      <c r="C148" s="130" t="s">
        <v>417</v>
      </c>
      <c r="D148" s="131" t="s">
        <v>811</v>
      </c>
      <c r="E148" s="168" t="s">
        <v>307</v>
      </c>
      <c r="F148" s="132" t="s">
        <v>25</v>
      </c>
      <c r="G148" s="133">
        <v>6</v>
      </c>
      <c r="H148" s="262">
        <v>13.76</v>
      </c>
      <c r="I148" s="262">
        <f t="shared" si="31"/>
        <v>16.536767999999999</v>
      </c>
      <c r="J148" s="262">
        <f t="shared" si="32"/>
        <v>99.220607999999999</v>
      </c>
      <c r="K14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48" s="48" t="e">
        <f>MID(#REF!,1,IFERROR(FIND(".",#REF!)-1,0))</f>
        <v>#REF!</v>
      </c>
      <c r="O148" s="260"/>
    </row>
    <row r="149" spans="1:15" s="98" customFormat="1" ht="25.5">
      <c r="A149"/>
      <c r="B149" s="116" t="s">
        <v>555</v>
      </c>
      <c r="C149" s="130" t="s">
        <v>795</v>
      </c>
      <c r="D149" s="131" t="s">
        <v>811</v>
      </c>
      <c r="E149" s="168" t="s">
        <v>556</v>
      </c>
      <c r="F149" s="132" t="s">
        <v>115</v>
      </c>
      <c r="G149" s="133">
        <v>200</v>
      </c>
      <c r="H149" s="262">
        <v>18.079999999999998</v>
      </c>
      <c r="I149" s="262">
        <f t="shared" si="31"/>
        <v>21.728543999999999</v>
      </c>
      <c r="J149" s="262">
        <f t="shared" si="32"/>
        <v>4345.7088000000003</v>
      </c>
      <c r="K149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49" s="48" t="e">
        <f>MID(#REF!,1,IFERROR(FIND(".",#REF!)-1,0))</f>
        <v>#REF!</v>
      </c>
      <c r="O149" s="260"/>
    </row>
    <row r="150" spans="1:15" s="98" customFormat="1" ht="25.5">
      <c r="A150"/>
      <c r="B150" s="116" t="s">
        <v>557</v>
      </c>
      <c r="C150" s="130" t="s">
        <v>796</v>
      </c>
      <c r="D150" s="131" t="s">
        <v>811</v>
      </c>
      <c r="E150" s="168" t="s">
        <v>558</v>
      </c>
      <c r="F150" s="132" t="s">
        <v>115</v>
      </c>
      <c r="G150" s="133">
        <v>200</v>
      </c>
      <c r="H150" s="262">
        <v>3.25</v>
      </c>
      <c r="I150" s="262">
        <f t="shared" si="31"/>
        <v>3.90585</v>
      </c>
      <c r="J150" s="262">
        <f t="shared" si="32"/>
        <v>781.17</v>
      </c>
      <c r="K15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50" s="48" t="e">
        <f>MID(#REF!,1,IFERROR(FIND(".",#REF!)-1,0))</f>
        <v>#REF!</v>
      </c>
      <c r="O150" s="260"/>
    </row>
    <row r="151" spans="1:15" s="98" customFormat="1" ht="25.5">
      <c r="A151"/>
      <c r="B151" s="116" t="s">
        <v>559</v>
      </c>
      <c r="C151" s="130" t="s">
        <v>797</v>
      </c>
      <c r="D151" s="131" t="s">
        <v>811</v>
      </c>
      <c r="E151" s="168" t="s">
        <v>560</v>
      </c>
      <c r="F151" s="132" t="s">
        <v>115</v>
      </c>
      <c r="G151" s="133">
        <v>200</v>
      </c>
      <c r="H151" s="262">
        <v>4.16</v>
      </c>
      <c r="I151" s="262">
        <f t="shared" si="31"/>
        <v>4.9994880000000004</v>
      </c>
      <c r="J151" s="262">
        <f t="shared" si="32"/>
        <v>999.89760000000012</v>
      </c>
      <c r="K15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51" s="48" t="e">
        <f>MID(#REF!,1,IFERROR(FIND(".",#REF!)-1,0))</f>
        <v>#REF!</v>
      </c>
      <c r="O151" s="260"/>
    </row>
    <row r="152" spans="1:15" s="98" customFormat="1" ht="25.5">
      <c r="A152"/>
      <c r="B152" s="116" t="s">
        <v>561</v>
      </c>
      <c r="C152" s="130" t="s">
        <v>798</v>
      </c>
      <c r="D152" s="131" t="s">
        <v>811</v>
      </c>
      <c r="E152" s="168" t="s">
        <v>562</v>
      </c>
      <c r="F152" s="132" t="s">
        <v>115</v>
      </c>
      <c r="G152" s="133">
        <v>100</v>
      </c>
      <c r="H152" s="262">
        <v>9.2100000000000009</v>
      </c>
      <c r="I152" s="262">
        <f t="shared" si="31"/>
        <v>11.068578</v>
      </c>
      <c r="J152" s="262">
        <f t="shared" si="32"/>
        <v>1106.8578</v>
      </c>
      <c r="K15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52" s="48" t="e">
        <f>MID(#REF!,1,IFERROR(FIND(".",#REF!)-1,0))</f>
        <v>#REF!</v>
      </c>
      <c r="O152" s="260"/>
    </row>
    <row r="153" spans="1:15" s="98" customFormat="1" ht="25.5">
      <c r="A153"/>
      <c r="B153" s="116" t="s">
        <v>563</v>
      </c>
      <c r="C153" s="130" t="s">
        <v>799</v>
      </c>
      <c r="D153" s="131" t="s">
        <v>811</v>
      </c>
      <c r="E153" s="168" t="s">
        <v>564</v>
      </c>
      <c r="F153" s="132" t="s">
        <v>115</v>
      </c>
      <c r="G153" s="133">
        <v>100</v>
      </c>
      <c r="H153" s="262">
        <v>13.93</v>
      </c>
      <c r="I153" s="262">
        <f t="shared" si="31"/>
        <v>16.741074000000001</v>
      </c>
      <c r="J153" s="262">
        <f t="shared" si="32"/>
        <v>1674.1074000000001</v>
      </c>
      <c r="K15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53" s="48" t="e">
        <f>MID(#REF!,1,IFERROR(FIND(".",#REF!)-1,0))</f>
        <v>#REF!</v>
      </c>
      <c r="O153" s="260"/>
    </row>
    <row r="154" spans="1:15" s="98" customFormat="1" ht="25.5">
      <c r="A154"/>
      <c r="B154" s="116" t="s">
        <v>565</v>
      </c>
      <c r="C154" s="130" t="s">
        <v>800</v>
      </c>
      <c r="D154" s="131" t="s">
        <v>811</v>
      </c>
      <c r="E154" s="168" t="s">
        <v>566</v>
      </c>
      <c r="F154" s="132" t="s">
        <v>25</v>
      </c>
      <c r="G154" s="133">
        <v>1</v>
      </c>
      <c r="H154" s="262">
        <v>162.41</v>
      </c>
      <c r="I154" s="262">
        <f t="shared" si="31"/>
        <v>195.184338</v>
      </c>
      <c r="J154" s="262">
        <f t="shared" si="32"/>
        <v>195.184338</v>
      </c>
      <c r="K15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54" s="48" t="e">
        <f>MID(#REF!,1,IFERROR(FIND(".",#REF!)-1,0))</f>
        <v>#REF!</v>
      </c>
      <c r="O154" s="260"/>
    </row>
    <row r="155" spans="1:15" s="98" customFormat="1" ht="25.5">
      <c r="A155"/>
      <c r="B155" s="116" t="s">
        <v>567</v>
      </c>
      <c r="C155" s="130" t="s">
        <v>801</v>
      </c>
      <c r="D155" s="131" t="s">
        <v>811</v>
      </c>
      <c r="E155" s="168" t="s">
        <v>568</v>
      </c>
      <c r="F155" s="132" t="s">
        <v>25</v>
      </c>
      <c r="G155" s="133">
        <v>2</v>
      </c>
      <c r="H155" s="262">
        <v>31</v>
      </c>
      <c r="I155" s="262">
        <f t="shared" si="31"/>
        <v>37.255800000000001</v>
      </c>
      <c r="J155" s="262">
        <f t="shared" si="32"/>
        <v>74.511600000000001</v>
      </c>
      <c r="K15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55" s="48" t="e">
        <f>MID(#REF!,1,IFERROR(FIND(".",#REF!)-1,0))</f>
        <v>#REF!</v>
      </c>
      <c r="O155" s="260"/>
    </row>
    <row r="156" spans="1:15" s="98" customFormat="1" ht="25.5">
      <c r="A156"/>
      <c r="B156" s="116" t="s">
        <v>569</v>
      </c>
      <c r="C156" s="130" t="s">
        <v>416</v>
      </c>
      <c r="D156" s="131" t="s">
        <v>811</v>
      </c>
      <c r="E156" s="168" t="s">
        <v>309</v>
      </c>
      <c r="F156" s="132" t="s">
        <v>25</v>
      </c>
      <c r="G156" s="133">
        <v>4</v>
      </c>
      <c r="H156" s="262">
        <v>124.81</v>
      </c>
      <c r="I156" s="262">
        <f t="shared" si="31"/>
        <v>149.996658</v>
      </c>
      <c r="J156" s="262">
        <f t="shared" si="32"/>
        <v>599.98663199999999</v>
      </c>
      <c r="K15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56" s="48" t="e">
        <f>MID(#REF!,1,IFERROR(FIND(".",#REF!)-1,0))</f>
        <v>#REF!</v>
      </c>
      <c r="O156" s="260"/>
    </row>
    <row r="157" spans="1:15" s="98" customFormat="1" ht="25.5">
      <c r="A157"/>
      <c r="B157" s="116" t="s">
        <v>570</v>
      </c>
      <c r="C157" s="130" t="s">
        <v>802</v>
      </c>
      <c r="D157" s="131" t="s">
        <v>811</v>
      </c>
      <c r="E157" s="168" t="s">
        <v>571</v>
      </c>
      <c r="F157" s="132" t="s">
        <v>25</v>
      </c>
      <c r="G157" s="133">
        <v>4</v>
      </c>
      <c r="H157" s="262">
        <v>74.5</v>
      </c>
      <c r="I157" s="262">
        <f t="shared" si="31"/>
        <v>89.534099999999995</v>
      </c>
      <c r="J157" s="262">
        <f t="shared" si="32"/>
        <v>358.13639999999998</v>
      </c>
      <c r="K157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57" s="48" t="e">
        <f>MID(#REF!,1,IFERROR(FIND(".",#REF!)-1,0))</f>
        <v>#REF!</v>
      </c>
      <c r="O157" s="260"/>
    </row>
    <row r="158" spans="1:15" s="98" customFormat="1" ht="15">
      <c r="A158"/>
      <c r="B158" s="116" t="s">
        <v>572</v>
      </c>
      <c r="C158" s="130" t="s">
        <v>803</v>
      </c>
      <c r="D158" s="131" t="s">
        <v>811</v>
      </c>
      <c r="E158" s="168" t="s">
        <v>573</v>
      </c>
      <c r="F158" s="132" t="s">
        <v>25</v>
      </c>
      <c r="G158" s="133">
        <v>1</v>
      </c>
      <c r="H158" s="262">
        <v>314.8</v>
      </c>
      <c r="I158" s="262">
        <f t="shared" si="31"/>
        <v>378.32664</v>
      </c>
      <c r="J158" s="262">
        <f t="shared" si="32"/>
        <v>378.32664</v>
      </c>
      <c r="K15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58" s="48" t="e">
        <f>MID(#REF!,1,IFERROR(FIND(".",#REF!)-1,0))</f>
        <v>#REF!</v>
      </c>
      <c r="O158" s="260"/>
    </row>
    <row r="159" spans="1:15" s="98" customFormat="1" ht="25.5">
      <c r="A159"/>
      <c r="B159" s="116" t="s">
        <v>574</v>
      </c>
      <c r="C159" s="130" t="s">
        <v>419</v>
      </c>
      <c r="D159" s="131" t="s">
        <v>811</v>
      </c>
      <c r="E159" s="168" t="s">
        <v>306</v>
      </c>
      <c r="F159" s="132" t="s">
        <v>115</v>
      </c>
      <c r="G159" s="133">
        <v>200</v>
      </c>
      <c r="H159" s="262">
        <v>15.46</v>
      </c>
      <c r="I159" s="262">
        <f t="shared" si="31"/>
        <v>18.579828000000003</v>
      </c>
      <c r="J159" s="262">
        <f t="shared" si="32"/>
        <v>3715.9656000000004</v>
      </c>
      <c r="K159" s="49"/>
      <c r="L159" s="48"/>
      <c r="O159" s="261"/>
    </row>
    <row r="160" spans="1:15" s="98" customFormat="1" ht="25.5">
      <c r="A160"/>
      <c r="B160" s="116" t="s">
        <v>575</v>
      </c>
      <c r="C160" s="130" t="s">
        <v>804</v>
      </c>
      <c r="D160" s="131" t="s">
        <v>811</v>
      </c>
      <c r="E160" s="168" t="s">
        <v>576</v>
      </c>
      <c r="F160" s="132" t="s">
        <v>115</v>
      </c>
      <c r="G160" s="133">
        <v>50</v>
      </c>
      <c r="H160" s="262">
        <v>18.21</v>
      </c>
      <c r="I160" s="262">
        <f t="shared" si="31"/>
        <v>21.884778000000001</v>
      </c>
      <c r="J160" s="262">
        <f t="shared" si="32"/>
        <v>1094.2389000000001</v>
      </c>
      <c r="K16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60" s="48" t="e">
        <f>MID(#REF!,1,IFERROR(FIND(".",#REF!)-1,0))</f>
        <v>#REF!</v>
      </c>
      <c r="O160" s="260"/>
    </row>
    <row r="161" spans="1:21" s="98" customFormat="1" ht="25.5">
      <c r="A161"/>
      <c r="B161" s="116" t="s">
        <v>577</v>
      </c>
      <c r="C161" s="130" t="s">
        <v>420</v>
      </c>
      <c r="D161" s="131" t="s">
        <v>811</v>
      </c>
      <c r="E161" s="168" t="s">
        <v>371</v>
      </c>
      <c r="F161" s="132" t="s">
        <v>115</v>
      </c>
      <c r="G161" s="133">
        <v>50</v>
      </c>
      <c r="H161" s="262">
        <v>14.5</v>
      </c>
      <c r="I161" s="262">
        <f t="shared" si="31"/>
        <v>17.426099999999998</v>
      </c>
      <c r="J161" s="262">
        <f t="shared" si="32"/>
        <v>871.30499999999995</v>
      </c>
      <c r="K161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61" s="48" t="e">
        <f>MID(#REF!,1,IFERROR(FIND(".",#REF!)-1,0))</f>
        <v>#REF!</v>
      </c>
      <c r="O161" s="260"/>
    </row>
    <row r="162" spans="1:21" s="98" customFormat="1" ht="25.5">
      <c r="A162"/>
      <c r="B162" s="116" t="s">
        <v>578</v>
      </c>
      <c r="C162" s="130" t="s">
        <v>805</v>
      </c>
      <c r="D162" s="131" t="s">
        <v>811</v>
      </c>
      <c r="E162" s="168" t="s">
        <v>579</v>
      </c>
      <c r="F162" s="132" t="s">
        <v>25</v>
      </c>
      <c r="G162" s="133">
        <v>1</v>
      </c>
      <c r="H162" s="262">
        <v>1517.64</v>
      </c>
      <c r="I162" s="262">
        <f t="shared" si="31"/>
        <v>1823.8997520000003</v>
      </c>
      <c r="J162" s="262">
        <f t="shared" si="32"/>
        <v>1823.8997520000003</v>
      </c>
      <c r="K162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62" s="48" t="e">
        <f>MID(#REF!,1,IFERROR(FIND(".",#REF!)-1,0))</f>
        <v>#REF!</v>
      </c>
      <c r="O162" s="260"/>
    </row>
    <row r="163" spans="1:21" s="98" customFormat="1" ht="15">
      <c r="A163"/>
      <c r="B163" s="116" t="s">
        <v>580</v>
      </c>
      <c r="C163" s="130" t="s">
        <v>806</v>
      </c>
      <c r="D163" s="131" t="s">
        <v>811</v>
      </c>
      <c r="E163" s="168" t="s">
        <v>581</v>
      </c>
      <c r="F163" s="132" t="s">
        <v>25</v>
      </c>
      <c r="G163" s="133">
        <v>1</v>
      </c>
      <c r="H163" s="262">
        <v>256.73</v>
      </c>
      <c r="I163" s="262">
        <f t="shared" si="31"/>
        <v>308.53811400000001</v>
      </c>
      <c r="J163" s="262">
        <f t="shared" si="32"/>
        <v>308.53811400000001</v>
      </c>
      <c r="K163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63" s="48" t="e">
        <f>MID(#REF!,1,IFERROR(FIND(".",#REF!)-1,0))</f>
        <v>#REF!</v>
      </c>
      <c r="O163" s="260"/>
    </row>
    <row r="164" spans="1:21" s="98" customFormat="1" ht="15">
      <c r="A164"/>
      <c r="B164" s="116" t="s">
        <v>582</v>
      </c>
      <c r="C164" s="130" t="s">
        <v>807</v>
      </c>
      <c r="D164" s="131" t="s">
        <v>811</v>
      </c>
      <c r="E164" s="168" t="s">
        <v>583</v>
      </c>
      <c r="F164" s="132" t="s">
        <v>115</v>
      </c>
      <c r="G164" s="133">
        <v>5</v>
      </c>
      <c r="H164" s="262">
        <v>24.48</v>
      </c>
      <c r="I164" s="262">
        <f t="shared" si="31"/>
        <v>29.420064</v>
      </c>
      <c r="J164" s="262">
        <f t="shared" si="32"/>
        <v>147.10032000000001</v>
      </c>
      <c r="K164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64" s="48" t="e">
        <f>MID(#REF!,1,IFERROR(FIND(".",#REF!)-1,0))</f>
        <v>#REF!</v>
      </c>
      <c r="O164" s="260"/>
    </row>
    <row r="165" spans="1:21" s="98" customFormat="1" ht="25.5">
      <c r="A165"/>
      <c r="B165" s="116" t="s">
        <v>584</v>
      </c>
      <c r="C165" s="130" t="s">
        <v>808</v>
      </c>
      <c r="D165" s="131" t="s">
        <v>811</v>
      </c>
      <c r="E165" s="168" t="s">
        <v>585</v>
      </c>
      <c r="F165" s="132" t="s">
        <v>25</v>
      </c>
      <c r="G165" s="133">
        <v>4</v>
      </c>
      <c r="H165" s="262">
        <v>242.92</v>
      </c>
      <c r="I165" s="262">
        <f t="shared" si="31"/>
        <v>291.94125600000001</v>
      </c>
      <c r="J165" s="262">
        <f t="shared" si="32"/>
        <v>1167.765024</v>
      </c>
      <c r="K165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65" s="48" t="e">
        <f>MID(#REF!,1,IFERROR(FIND(".",#REF!)-1,0))</f>
        <v>#REF!</v>
      </c>
      <c r="O165" s="260"/>
    </row>
    <row r="166" spans="1:21" s="98" customFormat="1" ht="38.25">
      <c r="A166"/>
      <c r="B166" s="116" t="s">
        <v>586</v>
      </c>
      <c r="C166" s="130" t="s">
        <v>809</v>
      </c>
      <c r="D166" s="131" t="s">
        <v>811</v>
      </c>
      <c r="E166" s="168" t="s">
        <v>587</v>
      </c>
      <c r="F166" s="132" t="s">
        <v>25</v>
      </c>
      <c r="G166" s="133">
        <v>6</v>
      </c>
      <c r="H166" s="262">
        <v>331.08</v>
      </c>
      <c r="I166" s="262">
        <f t="shared" si="31"/>
        <v>397.89194399999997</v>
      </c>
      <c r="J166" s="262">
        <f t="shared" si="32"/>
        <v>2387.3516639999998</v>
      </c>
      <c r="K166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66" s="48" t="e">
        <f>MID(#REF!,1,IFERROR(FIND(".",#REF!)-1,0))</f>
        <v>#REF!</v>
      </c>
      <c r="O166" s="260"/>
    </row>
    <row r="167" spans="1:21" s="98" customFormat="1" ht="15">
      <c r="A167"/>
      <c r="B167" s="318"/>
      <c r="C167" s="318" t="s">
        <v>390</v>
      </c>
      <c r="D167" s="318"/>
      <c r="E167" s="318"/>
      <c r="F167" s="318"/>
      <c r="G167" s="318"/>
      <c r="H167" s="319"/>
      <c r="I167" s="277" t="s">
        <v>4</v>
      </c>
      <c r="J167" s="278">
        <f>SUM(J145:J166)</f>
        <v>22687.604436000001</v>
      </c>
      <c r="K167" s="49"/>
      <c r="L167" s="48"/>
      <c r="O167" s="261"/>
    </row>
    <row r="168" spans="1:21" s="98" customFormat="1" ht="15">
      <c r="A168"/>
      <c r="B168" s="116">
        <v>19</v>
      </c>
      <c r="C168" s="130" t="s">
        <v>588</v>
      </c>
      <c r="D168" s="131"/>
      <c r="E168" s="168"/>
      <c r="F168" s="132"/>
      <c r="G168" s="133"/>
      <c r="H168" s="262"/>
      <c r="I168" s="262"/>
      <c r="J168" s="262"/>
      <c r="K168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68" s="48" t="e">
        <f>MID(#REF!,1,IFERROR(FIND(".",#REF!)-1,0))</f>
        <v>#REF!</v>
      </c>
      <c r="O168" s="260"/>
      <c r="U168" s="98">
        <v>971602.15</v>
      </c>
    </row>
    <row r="169" spans="1:21" s="98" customFormat="1" ht="25.5">
      <c r="A169"/>
      <c r="B169" s="116" t="s">
        <v>816</v>
      </c>
      <c r="C169" s="130" t="s">
        <v>831</v>
      </c>
      <c r="D169" s="131" t="s">
        <v>26</v>
      </c>
      <c r="E169" s="168" t="s">
        <v>817</v>
      </c>
      <c r="F169" s="132" t="s">
        <v>136</v>
      </c>
      <c r="G169" s="133">
        <v>19.86</v>
      </c>
      <c r="H169" s="262">
        <v>5.86</v>
      </c>
      <c r="I169" s="262">
        <f t="shared" ref="I169:I170" si="33">H169+H169*$I$9</f>
        <v>7.042548</v>
      </c>
      <c r="J169" s="262">
        <f t="shared" ref="J169:J170" si="34">I169*G169</f>
        <v>139.86500328</v>
      </c>
      <c r="K169" s="49"/>
      <c r="L169" s="48"/>
      <c r="O169" s="338"/>
    </row>
    <row r="170" spans="1:21" s="98" customFormat="1" ht="25.5">
      <c r="A170"/>
      <c r="B170" s="116" t="s">
        <v>818</v>
      </c>
      <c r="C170" s="130" t="s">
        <v>832</v>
      </c>
      <c r="D170" s="131" t="s">
        <v>26</v>
      </c>
      <c r="E170" s="168" t="s">
        <v>819</v>
      </c>
      <c r="F170" s="132" t="s">
        <v>136</v>
      </c>
      <c r="G170" s="133">
        <v>306.01</v>
      </c>
      <c r="H170" s="262">
        <v>1.76</v>
      </c>
      <c r="I170" s="262">
        <f t="shared" si="33"/>
        <v>2.1151680000000002</v>
      </c>
      <c r="J170" s="262">
        <f t="shared" si="34"/>
        <v>647.26255967999998</v>
      </c>
      <c r="K170" s="49" t="e">
        <f ca="1">IF(#REF!="SINAPI",OFFSET(INDIRECT("'["&amp;CUSTOS_ANALITICO&amp;"]"&amp;PLAN_COMP_SINAPI&amp;"'!$a$1"),#REF!-1,19),IF(#REF!="CPOS",OFFSET(INDIRECT("'["&amp;PRECOS_SERV_CPOS&amp;"]"&amp;PLAN_SERV_CPOS&amp;"'!$A$1"),#REF!-1,5),IF(#REF!="COMPOSIÇÃO",OFFSET(INDIRECT("'Composições'!$a$1"),#REF!-1,9),0)))</f>
        <v>#REF!</v>
      </c>
      <c r="L170" s="48" t="e">
        <f>MID(#REF!,1,IFERROR(FIND(".",#REF!)-1,0))</f>
        <v>#REF!</v>
      </c>
      <c r="O170" s="260"/>
    </row>
    <row r="171" spans="1:21" s="98" customFormat="1" ht="15">
      <c r="A171"/>
      <c r="B171" s="320"/>
      <c r="C171" s="320" t="s">
        <v>390</v>
      </c>
      <c r="D171" s="320"/>
      <c r="E171" s="320"/>
      <c r="F171" s="320"/>
      <c r="G171" s="320"/>
      <c r="H171" s="321"/>
      <c r="I171" s="277" t="s">
        <v>4</v>
      </c>
      <c r="J171" s="278">
        <f>SUM(J169:J170)</f>
        <v>787.12756295999998</v>
      </c>
      <c r="K171" s="49"/>
      <c r="L171" s="48"/>
      <c r="O171" s="261"/>
      <c r="U171" s="118">
        <f>SUMIF(T:T,"SUBTOTAL",U:U)</f>
        <v>0</v>
      </c>
    </row>
    <row r="172" spans="1:21" ht="15">
      <c r="A172" s="139"/>
      <c r="B172" s="263"/>
      <c r="D172" s="312"/>
      <c r="E172" s="313"/>
      <c r="F172" s="314"/>
      <c r="G172" s="214"/>
      <c r="H172" s="214"/>
      <c r="I172" s="214"/>
      <c r="J172" s="214"/>
    </row>
    <row r="173" spans="1:21">
      <c r="A173" s="139"/>
      <c r="B173" s="263"/>
      <c r="C173" s="312">
        <f ca="1">TODAY()</f>
        <v>44656</v>
      </c>
      <c r="D173" s="264"/>
      <c r="E173" s="265"/>
      <c r="F173" s="276"/>
      <c r="G173" s="263"/>
      <c r="H173" s="267"/>
      <c r="I173" s="117" t="s">
        <v>5</v>
      </c>
      <c r="J173" s="118">
        <f>SUMIF(I:I,"SUBTOTAL",J:J)</f>
        <v>940913.62653365987</v>
      </c>
    </row>
    <row r="174" spans="1:21">
      <c r="A174" s="98"/>
      <c r="B174" s="266"/>
      <c r="C174" s="267"/>
      <c r="D174" s="267"/>
      <c r="E174" s="268"/>
      <c r="F174" s="269"/>
      <c r="G174" s="267"/>
      <c r="H174" s="270"/>
      <c r="I174" s="270"/>
      <c r="J174" s="270"/>
    </row>
    <row r="175" spans="1:21">
      <c r="A175" s="98"/>
      <c r="B175" s="271"/>
      <c r="C175" s="267"/>
      <c r="D175" s="267"/>
      <c r="E175" s="268"/>
      <c r="F175" s="269"/>
      <c r="G175" s="267"/>
      <c r="H175" s="270"/>
      <c r="I175" s="270"/>
      <c r="J175" s="270"/>
    </row>
    <row r="176" spans="1:21">
      <c r="A176" s="98"/>
      <c r="B176" s="266"/>
      <c r="C176" s="267"/>
      <c r="D176" s="267"/>
      <c r="E176" s="268"/>
      <c r="F176" s="269"/>
      <c r="G176" s="267"/>
      <c r="H176" s="270"/>
      <c r="I176" s="270"/>
      <c r="J176" s="270"/>
    </row>
    <row r="177" spans="1:16">
      <c r="A177" s="98"/>
      <c r="B177" s="272"/>
      <c r="C177" s="273"/>
      <c r="D177" s="273"/>
      <c r="E177" s="274"/>
      <c r="F177" s="275"/>
      <c r="G177" s="267"/>
      <c r="H177" s="270"/>
      <c r="I177" s="270"/>
      <c r="J177" s="270"/>
    </row>
    <row r="178" spans="1:16">
      <c r="A178" s="98"/>
      <c r="B178" s="271"/>
      <c r="C178" s="267"/>
      <c r="D178" s="267"/>
      <c r="E178" s="268"/>
      <c r="F178" s="269"/>
      <c r="G178" s="267"/>
      <c r="H178" s="270"/>
      <c r="I178" s="270"/>
      <c r="J178" s="270"/>
    </row>
    <row r="179" spans="1:16">
      <c r="A179" s="98"/>
      <c r="B179" s="271"/>
      <c r="C179" s="267"/>
      <c r="D179" s="267"/>
      <c r="E179" s="268"/>
      <c r="F179" s="269"/>
      <c r="G179" s="267"/>
      <c r="H179" s="272"/>
      <c r="I179" s="270"/>
      <c r="J179" s="270"/>
      <c r="P179" s="349">
        <f>SUM(J14:J171)/2</f>
        <v>940913.62653365952</v>
      </c>
    </row>
    <row r="180" spans="1:16">
      <c r="A180" s="98"/>
      <c r="B180" s="271"/>
      <c r="C180" s="267"/>
      <c r="D180" s="267"/>
      <c r="E180" s="268"/>
      <c r="F180" s="269"/>
      <c r="G180" s="267"/>
      <c r="H180" s="272"/>
      <c r="I180" s="270"/>
      <c r="J180" s="270"/>
    </row>
    <row r="181" spans="1:16">
      <c r="A181" s="98"/>
      <c r="B181" s="271"/>
      <c r="C181" s="267"/>
      <c r="D181" s="267"/>
      <c r="E181" s="268"/>
      <c r="F181" s="269"/>
      <c r="G181" s="267"/>
      <c r="H181" s="272"/>
      <c r="I181" s="270"/>
      <c r="J181" s="270"/>
    </row>
    <row r="182" spans="1:16">
      <c r="A182" s="98"/>
      <c r="B182" s="271"/>
      <c r="C182" s="267"/>
      <c r="D182" s="267"/>
      <c r="E182" s="268"/>
      <c r="F182" s="269"/>
      <c r="G182" s="267"/>
      <c r="H182" s="272"/>
      <c r="I182" s="270"/>
      <c r="J182" s="270"/>
    </row>
    <row r="183" spans="1:16">
      <c r="A183" s="98"/>
      <c r="B183" s="271"/>
      <c r="C183" s="267"/>
      <c r="D183" s="267"/>
      <c r="E183" s="268"/>
      <c r="F183" s="269"/>
      <c r="G183" s="267"/>
      <c r="H183" s="272"/>
      <c r="I183" s="270"/>
      <c r="J183" s="270"/>
    </row>
    <row r="184" spans="1:16">
      <c r="A184" s="98"/>
      <c r="B184" s="271"/>
      <c r="C184" s="267"/>
      <c r="D184" s="267"/>
      <c r="E184" s="268"/>
      <c r="F184" s="269"/>
      <c r="G184" s="267"/>
      <c r="H184" s="272"/>
      <c r="I184" s="270"/>
      <c r="J184" s="270"/>
    </row>
    <row r="185" spans="1:16">
      <c r="A185" s="98"/>
    </row>
    <row r="186" spans="1:16">
      <c r="A186" s="98"/>
    </row>
    <row r="187" spans="1:16">
      <c r="A187" s="98"/>
    </row>
    <row r="188" spans="1:16">
      <c r="A188" s="98"/>
    </row>
    <row r="189" spans="1:16">
      <c r="A189" s="98"/>
    </row>
    <row r="190" spans="1:16">
      <c r="A190" s="98"/>
    </row>
    <row r="191" spans="1:16">
      <c r="A191" s="98"/>
    </row>
    <row r="192" spans="1:16">
      <c r="A192" s="98"/>
    </row>
    <row r="193" spans="1:1">
      <c r="A193" s="98"/>
    </row>
    <row r="194" spans="1:1">
      <c r="A194" s="98"/>
    </row>
    <row r="195" spans="1:1">
      <c r="A195" s="98"/>
    </row>
    <row r="196" spans="1:1">
      <c r="A196" s="98"/>
    </row>
    <row r="197" spans="1:1">
      <c r="A197" s="98"/>
    </row>
    <row r="198" spans="1:1">
      <c r="A198" s="98"/>
    </row>
    <row r="199" spans="1:1">
      <c r="A199" s="98"/>
    </row>
    <row r="200" spans="1:1">
      <c r="A200" s="98"/>
    </row>
    <row r="201" spans="1:1">
      <c r="A201" s="98"/>
    </row>
    <row r="202" spans="1:1">
      <c r="A202" s="98"/>
    </row>
    <row r="203" spans="1:1">
      <c r="A203" s="98"/>
    </row>
    <row r="204" spans="1:1">
      <c r="A204" s="98"/>
    </row>
    <row r="205" spans="1:1">
      <c r="A205" s="98"/>
    </row>
    <row r="206" spans="1:1">
      <c r="A206" s="98"/>
    </row>
    <row r="207" spans="1:1">
      <c r="A207" s="98"/>
    </row>
    <row r="208" spans="1:1">
      <c r="A208" s="98"/>
    </row>
    <row r="209" spans="1:1">
      <c r="A209" s="98"/>
    </row>
    <row r="210" spans="1:1">
      <c r="A210" s="98"/>
    </row>
    <row r="211" spans="1:1">
      <c r="A211" s="98"/>
    </row>
    <row r="212" spans="1:1">
      <c r="A212" s="98"/>
    </row>
    <row r="213" spans="1:1">
      <c r="A213" s="98"/>
    </row>
    <row r="214" spans="1:1">
      <c r="A214" s="98"/>
    </row>
    <row r="215" spans="1:1">
      <c r="A215" s="98"/>
    </row>
    <row r="216" spans="1:1">
      <c r="A216" s="98"/>
    </row>
    <row r="217" spans="1:1">
      <c r="A217" s="98"/>
    </row>
    <row r="218" spans="1:1">
      <c r="A218" s="98"/>
    </row>
    <row r="219" spans="1:1">
      <c r="A219" s="98"/>
    </row>
    <row r="220" spans="1:1">
      <c r="A220" s="98"/>
    </row>
    <row r="221" spans="1:1">
      <c r="A221" s="98"/>
    </row>
    <row r="222" spans="1:1">
      <c r="A222" s="98"/>
    </row>
    <row r="223" spans="1:1">
      <c r="A223" s="98"/>
    </row>
    <row r="224" spans="1:1">
      <c r="A224" s="98"/>
    </row>
    <row r="225" spans="1:1">
      <c r="A225" s="98"/>
    </row>
    <row r="226" spans="1:1">
      <c r="A226" s="98"/>
    </row>
    <row r="227" spans="1:1">
      <c r="A227" s="98"/>
    </row>
    <row r="228" spans="1:1">
      <c r="A228" s="98"/>
    </row>
    <row r="229" spans="1:1">
      <c r="A229" s="98"/>
    </row>
    <row r="230" spans="1:1">
      <c r="A230" s="98"/>
    </row>
    <row r="231" spans="1:1">
      <c r="A231" s="98"/>
    </row>
    <row r="232" spans="1:1">
      <c r="A232" s="98"/>
    </row>
    <row r="233" spans="1:1">
      <c r="A233" s="98"/>
    </row>
    <row r="234" spans="1:1">
      <c r="A234" s="98"/>
    </row>
    <row r="235" spans="1:1">
      <c r="A235" s="98"/>
    </row>
    <row r="236" spans="1:1">
      <c r="A236" s="98"/>
    </row>
    <row r="237" spans="1:1">
      <c r="A237" s="98"/>
    </row>
    <row r="238" spans="1:1">
      <c r="A238" s="98"/>
    </row>
    <row r="239" spans="1:1">
      <c r="A239" s="98"/>
    </row>
    <row r="240" spans="1:1">
      <c r="A240" s="98"/>
    </row>
    <row r="241" spans="1:1">
      <c r="A241" s="98"/>
    </row>
    <row r="242" spans="1:1">
      <c r="A242" s="98"/>
    </row>
    <row r="243" spans="1:1">
      <c r="A243" s="98"/>
    </row>
    <row r="244" spans="1:1">
      <c r="A244" s="98"/>
    </row>
    <row r="245" spans="1:1">
      <c r="A245" s="98"/>
    </row>
    <row r="246" spans="1:1">
      <c r="A246" s="98"/>
    </row>
    <row r="247" spans="1:1">
      <c r="A247" s="98"/>
    </row>
    <row r="248" spans="1:1">
      <c r="A248" s="98"/>
    </row>
    <row r="249" spans="1:1">
      <c r="A249" s="98"/>
    </row>
    <row r="250" spans="1:1">
      <c r="A250" s="98"/>
    </row>
    <row r="251" spans="1:1">
      <c r="A251" s="98"/>
    </row>
    <row r="252" spans="1:1">
      <c r="A252" s="98"/>
    </row>
    <row r="253" spans="1:1">
      <c r="A253" s="98"/>
    </row>
    <row r="254" spans="1:1">
      <c r="A254" s="98"/>
    </row>
    <row r="255" spans="1:1">
      <c r="A255" s="98"/>
    </row>
    <row r="256" spans="1:1">
      <c r="A256" s="98"/>
    </row>
    <row r="257" spans="1:1">
      <c r="A257" s="98"/>
    </row>
    <row r="258" spans="1:1">
      <c r="A258" s="98"/>
    </row>
    <row r="259" spans="1:1">
      <c r="A259" s="98"/>
    </row>
    <row r="260" spans="1:1">
      <c r="A260" s="98"/>
    </row>
    <row r="261" spans="1:1">
      <c r="A261" s="98"/>
    </row>
    <row r="262" spans="1:1">
      <c r="A262" s="98"/>
    </row>
    <row r="263" spans="1:1">
      <c r="A263" s="98"/>
    </row>
    <row r="264" spans="1:1">
      <c r="A264" s="98"/>
    </row>
    <row r="265" spans="1:1">
      <c r="A265" s="98"/>
    </row>
    <row r="266" spans="1:1">
      <c r="A266" s="98"/>
    </row>
    <row r="267" spans="1:1">
      <c r="A267" s="98"/>
    </row>
    <row r="268" spans="1:1">
      <c r="A268" s="98"/>
    </row>
    <row r="269" spans="1:1">
      <c r="A269" s="98"/>
    </row>
    <row r="270" spans="1:1">
      <c r="A270" s="98"/>
    </row>
    <row r="271" spans="1:1">
      <c r="A271" s="98"/>
    </row>
    <row r="272" spans="1:1">
      <c r="A272" s="98"/>
    </row>
    <row r="273" spans="1:1">
      <c r="A273" s="98"/>
    </row>
    <row r="274" spans="1:1">
      <c r="A274" s="98"/>
    </row>
    <row r="275" spans="1:1">
      <c r="A275" s="98"/>
    </row>
    <row r="276" spans="1:1">
      <c r="A276" s="98"/>
    </row>
    <row r="277" spans="1:1">
      <c r="A277" s="98"/>
    </row>
    <row r="278" spans="1:1">
      <c r="A278" s="98"/>
    </row>
    <row r="279" spans="1:1">
      <c r="A279" s="98"/>
    </row>
    <row r="280" spans="1:1">
      <c r="A280" s="98"/>
    </row>
    <row r="281" spans="1:1">
      <c r="A281" s="98"/>
    </row>
    <row r="282" spans="1:1">
      <c r="A282" s="98"/>
    </row>
    <row r="283" spans="1:1">
      <c r="A283" s="98"/>
    </row>
    <row r="284" spans="1:1">
      <c r="A284" s="98"/>
    </row>
    <row r="285" spans="1:1">
      <c r="A285" s="98"/>
    </row>
    <row r="286" spans="1:1">
      <c r="A286" s="98"/>
    </row>
    <row r="287" spans="1:1">
      <c r="A287" s="98"/>
    </row>
    <row r="288" spans="1:1">
      <c r="A288" s="98"/>
    </row>
    <row r="289" spans="1:1">
      <c r="A289" s="98"/>
    </row>
    <row r="290" spans="1:1">
      <c r="A290" s="98"/>
    </row>
    <row r="291" spans="1:1">
      <c r="A291" s="98"/>
    </row>
    <row r="292" spans="1:1">
      <c r="A292" s="98"/>
    </row>
    <row r="293" spans="1:1">
      <c r="A293" s="98"/>
    </row>
    <row r="294" spans="1:1">
      <c r="A294" s="98"/>
    </row>
    <row r="295" spans="1:1">
      <c r="A295" s="98"/>
    </row>
    <row r="296" spans="1:1">
      <c r="A296" s="98"/>
    </row>
    <row r="297" spans="1:1">
      <c r="A297" s="98"/>
    </row>
    <row r="298" spans="1:1">
      <c r="A298" s="98"/>
    </row>
    <row r="299" spans="1:1">
      <c r="A299" s="98"/>
    </row>
    <row r="300" spans="1:1">
      <c r="A300" s="98"/>
    </row>
    <row r="301" spans="1:1">
      <c r="A301" s="98"/>
    </row>
    <row r="302" spans="1:1">
      <c r="A302" s="98"/>
    </row>
    <row r="303" spans="1:1">
      <c r="A303" s="98"/>
    </row>
    <row r="304" spans="1:1">
      <c r="A304" s="98"/>
    </row>
    <row r="305" spans="1:1">
      <c r="A305" s="98"/>
    </row>
    <row r="306" spans="1:1">
      <c r="A306" s="98"/>
    </row>
    <row r="307" spans="1:1">
      <c r="A307" s="98"/>
    </row>
    <row r="308" spans="1:1">
      <c r="A308" s="98"/>
    </row>
    <row r="309" spans="1:1">
      <c r="A309" s="98"/>
    </row>
    <row r="310" spans="1:1">
      <c r="A310" s="98"/>
    </row>
    <row r="311" spans="1:1">
      <c r="A311" s="98"/>
    </row>
    <row r="312" spans="1:1">
      <c r="A312" s="98"/>
    </row>
    <row r="313" spans="1:1">
      <c r="A313" s="98"/>
    </row>
    <row r="314" spans="1:1">
      <c r="A314" s="98"/>
    </row>
    <row r="315" spans="1:1">
      <c r="A315" s="98"/>
    </row>
    <row r="316" spans="1:1">
      <c r="A316" s="98"/>
    </row>
    <row r="317" spans="1:1">
      <c r="A317" s="98"/>
    </row>
    <row r="318" spans="1:1">
      <c r="A318" s="98"/>
    </row>
    <row r="319" spans="1:1">
      <c r="A319" s="98"/>
    </row>
    <row r="320" spans="1:1">
      <c r="A320" s="98"/>
    </row>
    <row r="321" spans="1:1">
      <c r="A321" s="98"/>
    </row>
    <row r="322" spans="1:1">
      <c r="A322" s="98"/>
    </row>
    <row r="323" spans="1:1">
      <c r="A323" s="98"/>
    </row>
    <row r="324" spans="1:1">
      <c r="A324" s="98"/>
    </row>
    <row r="325" spans="1:1">
      <c r="A325" s="98"/>
    </row>
    <row r="326" spans="1:1">
      <c r="A326" s="98"/>
    </row>
    <row r="327" spans="1:1">
      <c r="A327" s="98"/>
    </row>
    <row r="328" spans="1:1">
      <c r="A328" s="98"/>
    </row>
    <row r="329" spans="1:1">
      <c r="A329" s="98"/>
    </row>
    <row r="330" spans="1:1">
      <c r="A330" s="98"/>
    </row>
    <row r="331" spans="1:1">
      <c r="A331" s="98"/>
    </row>
    <row r="332" spans="1:1">
      <c r="A332" s="98"/>
    </row>
    <row r="333" spans="1:1">
      <c r="A333" s="98"/>
    </row>
    <row r="334" spans="1:1">
      <c r="A334" s="98"/>
    </row>
    <row r="335" spans="1:1">
      <c r="A335" s="98"/>
    </row>
    <row r="336" spans="1:1">
      <c r="A336" s="98"/>
    </row>
    <row r="337" spans="1:1">
      <c r="A337" s="98"/>
    </row>
    <row r="338" spans="1:1">
      <c r="A338" s="98"/>
    </row>
    <row r="339" spans="1:1">
      <c r="A339" s="98"/>
    </row>
    <row r="340" spans="1:1">
      <c r="A340" s="98"/>
    </row>
    <row r="341" spans="1:1">
      <c r="A341" s="98"/>
    </row>
    <row r="342" spans="1:1">
      <c r="A342" s="98"/>
    </row>
    <row r="343" spans="1:1">
      <c r="A343" s="98"/>
    </row>
    <row r="344" spans="1:1">
      <c r="A344" s="98"/>
    </row>
    <row r="345" spans="1:1">
      <c r="A345" s="98"/>
    </row>
    <row r="346" spans="1:1">
      <c r="A346" s="98"/>
    </row>
    <row r="347" spans="1:1">
      <c r="A347" s="98"/>
    </row>
    <row r="348" spans="1:1">
      <c r="A348" s="98"/>
    </row>
    <row r="349" spans="1:1">
      <c r="A349" s="98"/>
    </row>
    <row r="350" spans="1:1">
      <c r="A350" s="98"/>
    </row>
    <row r="351" spans="1:1">
      <c r="A351" s="98"/>
    </row>
    <row r="352" spans="1:1">
      <c r="A352" s="98"/>
    </row>
    <row r="353" spans="1:1">
      <c r="A353" s="98"/>
    </row>
    <row r="354" spans="1:1">
      <c r="A354" s="98"/>
    </row>
    <row r="355" spans="1:1">
      <c r="A355" s="98"/>
    </row>
    <row r="356" spans="1:1">
      <c r="A356" s="98"/>
    </row>
    <row r="357" spans="1:1">
      <c r="A357" s="98"/>
    </row>
    <row r="358" spans="1:1">
      <c r="A358" s="98"/>
    </row>
    <row r="359" spans="1:1">
      <c r="A359" s="98"/>
    </row>
    <row r="360" spans="1:1">
      <c r="A360" s="98"/>
    </row>
    <row r="361" spans="1:1">
      <c r="A361" s="98"/>
    </row>
    <row r="362" spans="1:1">
      <c r="A362" s="98"/>
    </row>
    <row r="363" spans="1:1">
      <c r="A363" s="98"/>
    </row>
    <row r="364" spans="1:1">
      <c r="A364" s="98"/>
    </row>
    <row r="365" spans="1:1">
      <c r="A365" s="98"/>
    </row>
    <row r="366" spans="1:1">
      <c r="A366" s="98"/>
    </row>
    <row r="367" spans="1:1">
      <c r="A367" s="98"/>
    </row>
    <row r="368" spans="1:1">
      <c r="A368" s="98"/>
    </row>
    <row r="369" spans="1:1">
      <c r="A369" s="98"/>
    </row>
    <row r="370" spans="1:1">
      <c r="A370" s="98"/>
    </row>
    <row r="371" spans="1:1">
      <c r="A371" s="98"/>
    </row>
    <row r="372" spans="1:1">
      <c r="A372" s="98"/>
    </row>
    <row r="373" spans="1:1">
      <c r="A373" s="98"/>
    </row>
    <row r="374" spans="1:1">
      <c r="A374" s="98"/>
    </row>
    <row r="375" spans="1:1">
      <c r="A375" s="98"/>
    </row>
    <row r="376" spans="1:1">
      <c r="A376" s="98"/>
    </row>
    <row r="377" spans="1:1">
      <c r="A377" s="98"/>
    </row>
    <row r="378" spans="1:1">
      <c r="A378" s="98"/>
    </row>
    <row r="379" spans="1:1">
      <c r="A379" s="98"/>
    </row>
    <row r="380" spans="1:1">
      <c r="A380" s="98"/>
    </row>
    <row r="381" spans="1:1">
      <c r="A381" s="98"/>
    </row>
    <row r="382" spans="1:1">
      <c r="A382" s="98"/>
    </row>
    <row r="383" spans="1:1">
      <c r="A383" s="98"/>
    </row>
    <row r="384" spans="1:1">
      <c r="A384" s="98"/>
    </row>
    <row r="385" spans="1:1">
      <c r="A385" s="98"/>
    </row>
    <row r="386" spans="1:1">
      <c r="A386" s="98"/>
    </row>
    <row r="387" spans="1:1">
      <c r="A387" s="98"/>
    </row>
    <row r="388" spans="1:1">
      <c r="A388" s="98"/>
    </row>
    <row r="389" spans="1:1">
      <c r="A389" s="98"/>
    </row>
    <row r="390" spans="1:1">
      <c r="A390" s="98"/>
    </row>
    <row r="391" spans="1:1">
      <c r="A391" s="98"/>
    </row>
    <row r="392" spans="1:1">
      <c r="A392" s="98"/>
    </row>
    <row r="393" spans="1:1">
      <c r="A393" s="98"/>
    </row>
    <row r="394" spans="1:1">
      <c r="A394" s="98"/>
    </row>
    <row r="395" spans="1:1">
      <c r="A395" s="98"/>
    </row>
    <row r="396" spans="1:1">
      <c r="A396" s="98"/>
    </row>
    <row r="397" spans="1:1">
      <c r="A397" s="98"/>
    </row>
    <row r="398" spans="1:1">
      <c r="A398" s="98"/>
    </row>
    <row r="399" spans="1:1">
      <c r="A399" s="98"/>
    </row>
    <row r="400" spans="1:1">
      <c r="A400" s="98"/>
    </row>
    <row r="401" spans="1:1">
      <c r="A401" s="98"/>
    </row>
    <row r="402" spans="1:1">
      <c r="A402" s="98"/>
    </row>
    <row r="403" spans="1:1">
      <c r="A403" s="98"/>
    </row>
    <row r="404" spans="1:1">
      <c r="A404" s="98"/>
    </row>
    <row r="405" spans="1:1">
      <c r="A405" s="98"/>
    </row>
    <row r="406" spans="1:1">
      <c r="A406" s="98"/>
    </row>
    <row r="407" spans="1:1">
      <c r="A407" s="98"/>
    </row>
    <row r="408" spans="1:1">
      <c r="A408" s="98"/>
    </row>
    <row r="409" spans="1:1">
      <c r="A409" s="98"/>
    </row>
    <row r="410" spans="1:1">
      <c r="A410" s="98"/>
    </row>
    <row r="411" spans="1:1">
      <c r="A411" s="98"/>
    </row>
    <row r="412" spans="1:1">
      <c r="A412" s="98"/>
    </row>
    <row r="413" spans="1:1">
      <c r="A413" s="98"/>
    </row>
    <row r="414" spans="1:1">
      <c r="A414" s="98"/>
    </row>
    <row r="415" spans="1:1">
      <c r="A415" s="98"/>
    </row>
    <row r="416" spans="1:1">
      <c r="A416" s="98"/>
    </row>
    <row r="417" spans="1:1">
      <c r="A417" s="98"/>
    </row>
    <row r="418" spans="1:1">
      <c r="A418" s="98"/>
    </row>
    <row r="419" spans="1:1">
      <c r="A419" s="98"/>
    </row>
    <row r="420" spans="1:1">
      <c r="A420" s="98"/>
    </row>
    <row r="421" spans="1:1">
      <c r="A421" s="98"/>
    </row>
    <row r="422" spans="1:1">
      <c r="A422" s="98"/>
    </row>
    <row r="423" spans="1:1">
      <c r="A423" s="98"/>
    </row>
    <row r="424" spans="1:1">
      <c r="A424" s="98"/>
    </row>
    <row r="425" spans="1:1">
      <c r="A425" s="98"/>
    </row>
    <row r="426" spans="1:1">
      <c r="A426" s="98"/>
    </row>
    <row r="427" spans="1:1">
      <c r="A427" s="98"/>
    </row>
    <row r="428" spans="1:1">
      <c r="A428" s="98"/>
    </row>
    <row r="429" spans="1:1">
      <c r="A429" s="98"/>
    </row>
    <row r="430" spans="1:1">
      <c r="A430" s="98"/>
    </row>
    <row r="431" spans="1:1">
      <c r="A431" s="98"/>
    </row>
    <row r="432" spans="1:1">
      <c r="A432" s="98"/>
    </row>
    <row r="433" spans="1:1">
      <c r="A433" s="98"/>
    </row>
    <row r="434" spans="1:1">
      <c r="A434" s="98"/>
    </row>
    <row r="435" spans="1:1">
      <c r="A435" s="98"/>
    </row>
    <row r="436" spans="1:1">
      <c r="A436" s="98"/>
    </row>
    <row r="437" spans="1:1">
      <c r="A437" s="98"/>
    </row>
    <row r="438" spans="1:1">
      <c r="A438" s="98"/>
    </row>
    <row r="439" spans="1:1">
      <c r="A439" s="98"/>
    </row>
    <row r="440" spans="1:1">
      <c r="A440" s="98"/>
    </row>
    <row r="441" spans="1:1">
      <c r="A441" s="98"/>
    </row>
    <row r="442" spans="1:1">
      <c r="A442" s="98"/>
    </row>
    <row r="443" spans="1:1">
      <c r="A443" s="98"/>
    </row>
    <row r="444" spans="1:1">
      <c r="A444" s="98"/>
    </row>
    <row r="445" spans="1:1">
      <c r="A445" s="98"/>
    </row>
    <row r="446" spans="1:1">
      <c r="A446" s="98"/>
    </row>
    <row r="447" spans="1:1">
      <c r="A447" s="98"/>
    </row>
    <row r="448" spans="1:1">
      <c r="A448" s="98"/>
    </row>
    <row r="449" spans="1:1">
      <c r="A449" s="98"/>
    </row>
    <row r="450" spans="1:1">
      <c r="A450" s="98"/>
    </row>
    <row r="451" spans="1:1">
      <c r="A451" s="98"/>
    </row>
    <row r="452" spans="1:1">
      <c r="A452" s="98"/>
    </row>
    <row r="453" spans="1:1">
      <c r="A453" s="98"/>
    </row>
    <row r="454" spans="1:1">
      <c r="A454" s="98"/>
    </row>
    <row r="455" spans="1:1">
      <c r="A455" s="98"/>
    </row>
    <row r="456" spans="1:1">
      <c r="A456" s="98"/>
    </row>
    <row r="457" spans="1:1">
      <c r="A457" s="98"/>
    </row>
    <row r="458" spans="1:1">
      <c r="A458" s="98"/>
    </row>
    <row r="459" spans="1:1">
      <c r="A459" s="98"/>
    </row>
    <row r="460" spans="1:1">
      <c r="A460" s="98"/>
    </row>
    <row r="461" spans="1:1">
      <c r="A461" s="98"/>
    </row>
    <row r="462" spans="1:1">
      <c r="A462" s="98"/>
    </row>
    <row r="463" spans="1:1">
      <c r="A463" s="98"/>
    </row>
    <row r="464" spans="1:1">
      <c r="A464" s="98"/>
    </row>
    <row r="465" spans="1:1">
      <c r="A465" s="98"/>
    </row>
    <row r="466" spans="1:1">
      <c r="A466" s="98"/>
    </row>
    <row r="467" spans="1:1">
      <c r="A467" s="98"/>
    </row>
    <row r="468" spans="1:1">
      <c r="A468" s="98"/>
    </row>
    <row r="469" spans="1:1">
      <c r="A469" s="98"/>
    </row>
    <row r="470" spans="1:1">
      <c r="A470" s="98"/>
    </row>
    <row r="471" spans="1:1">
      <c r="A471" s="98"/>
    </row>
    <row r="472" spans="1:1">
      <c r="A472" s="98"/>
    </row>
    <row r="473" spans="1:1">
      <c r="A473" s="98"/>
    </row>
    <row r="474" spans="1:1">
      <c r="A474" s="98"/>
    </row>
    <row r="475" spans="1:1">
      <c r="A475" s="98"/>
    </row>
    <row r="476" spans="1:1">
      <c r="A476" s="98"/>
    </row>
    <row r="477" spans="1:1">
      <c r="A477" s="98"/>
    </row>
    <row r="478" spans="1:1">
      <c r="A478" s="98"/>
    </row>
    <row r="479" spans="1:1">
      <c r="A479" s="98"/>
    </row>
    <row r="480" spans="1:1">
      <c r="A480" s="98"/>
    </row>
    <row r="481" spans="1:1">
      <c r="A481" s="98"/>
    </row>
    <row r="482" spans="1:1">
      <c r="A482" s="98"/>
    </row>
    <row r="483" spans="1:1">
      <c r="A483" s="98"/>
    </row>
    <row r="484" spans="1:1">
      <c r="A484" s="98"/>
    </row>
    <row r="485" spans="1:1">
      <c r="A485" s="98"/>
    </row>
    <row r="486" spans="1:1">
      <c r="A486" s="98"/>
    </row>
    <row r="487" spans="1:1">
      <c r="A487" s="98"/>
    </row>
    <row r="488" spans="1:1">
      <c r="A488" s="98"/>
    </row>
    <row r="489" spans="1:1">
      <c r="A489" s="98"/>
    </row>
    <row r="490" spans="1:1">
      <c r="A490" s="98"/>
    </row>
    <row r="491" spans="1:1">
      <c r="A491" s="98"/>
    </row>
    <row r="492" spans="1:1">
      <c r="A492" s="98"/>
    </row>
    <row r="493" spans="1:1">
      <c r="A493" s="98"/>
    </row>
    <row r="494" spans="1:1">
      <c r="A494" s="98"/>
    </row>
    <row r="495" spans="1:1">
      <c r="A495" s="98"/>
    </row>
    <row r="496" spans="1:1">
      <c r="A496" s="98"/>
    </row>
    <row r="497" spans="1:1">
      <c r="A497" s="98"/>
    </row>
    <row r="498" spans="1:1">
      <c r="A498" s="98"/>
    </row>
    <row r="499" spans="1:1">
      <c r="A499" s="98"/>
    </row>
    <row r="500" spans="1:1">
      <c r="A500" s="98"/>
    </row>
    <row r="501" spans="1:1">
      <c r="A501" s="98"/>
    </row>
    <row r="502" spans="1:1">
      <c r="A502" s="98"/>
    </row>
    <row r="503" spans="1:1">
      <c r="A503" s="98"/>
    </row>
    <row r="504" spans="1:1">
      <c r="A504" s="98"/>
    </row>
    <row r="505" spans="1:1">
      <c r="A505" s="98"/>
    </row>
    <row r="506" spans="1:1">
      <c r="A506" s="98"/>
    </row>
    <row r="507" spans="1:1">
      <c r="A507" s="98"/>
    </row>
    <row r="508" spans="1:1">
      <c r="A508" s="98"/>
    </row>
    <row r="509" spans="1:1">
      <c r="A509" s="98"/>
    </row>
    <row r="510" spans="1:1">
      <c r="A510" s="98"/>
    </row>
    <row r="511" spans="1:1">
      <c r="A511" s="98"/>
    </row>
    <row r="512" spans="1:1">
      <c r="A512" s="98"/>
    </row>
    <row r="513" spans="1:1">
      <c r="A513" s="98"/>
    </row>
    <row r="514" spans="1:1">
      <c r="A514" s="98"/>
    </row>
    <row r="515" spans="1:1">
      <c r="A515" s="98"/>
    </row>
    <row r="516" spans="1:1">
      <c r="A516" s="98"/>
    </row>
    <row r="517" spans="1:1">
      <c r="A517" s="98"/>
    </row>
    <row r="518" spans="1:1">
      <c r="A518" s="98"/>
    </row>
    <row r="519" spans="1:1">
      <c r="A519" s="98"/>
    </row>
    <row r="520" spans="1:1">
      <c r="A520" s="98"/>
    </row>
    <row r="521" spans="1:1">
      <c r="A521" s="98"/>
    </row>
    <row r="522" spans="1:1">
      <c r="A522" s="98"/>
    </row>
    <row r="523" spans="1:1">
      <c r="A523" s="98"/>
    </row>
    <row r="524" spans="1:1">
      <c r="A524" s="98"/>
    </row>
    <row r="525" spans="1:1">
      <c r="A525" s="98"/>
    </row>
    <row r="526" spans="1:1">
      <c r="A526" s="98"/>
    </row>
    <row r="527" spans="1:1">
      <c r="A527" s="98"/>
    </row>
    <row r="528" spans="1:1">
      <c r="A528" s="98"/>
    </row>
    <row r="529" spans="1:1">
      <c r="A529" s="98"/>
    </row>
    <row r="530" spans="1:1">
      <c r="A530" s="98"/>
    </row>
    <row r="531" spans="1:1">
      <c r="A531" s="98"/>
    </row>
    <row r="532" spans="1:1">
      <c r="A532" s="98"/>
    </row>
    <row r="533" spans="1:1">
      <c r="A533" s="98"/>
    </row>
    <row r="534" spans="1:1">
      <c r="A534" s="98"/>
    </row>
    <row r="535" spans="1:1">
      <c r="A535" s="98"/>
    </row>
    <row r="536" spans="1:1">
      <c r="A536" s="98"/>
    </row>
    <row r="537" spans="1:1">
      <c r="A537" s="98"/>
    </row>
    <row r="538" spans="1:1">
      <c r="A538" s="98"/>
    </row>
    <row r="539" spans="1:1">
      <c r="A539" s="98"/>
    </row>
    <row r="540" spans="1:1">
      <c r="A540" s="98"/>
    </row>
    <row r="541" spans="1:1">
      <c r="A541" s="98"/>
    </row>
    <row r="542" spans="1:1">
      <c r="A542" s="98"/>
    </row>
    <row r="543" spans="1:1">
      <c r="A543" s="98"/>
    </row>
    <row r="544" spans="1:1">
      <c r="A544" s="98"/>
    </row>
    <row r="545" spans="1:1">
      <c r="A545" s="98"/>
    </row>
    <row r="546" spans="1:1">
      <c r="A546" s="98"/>
    </row>
    <row r="547" spans="1:1">
      <c r="A547" s="98"/>
    </row>
    <row r="548" spans="1:1">
      <c r="A548" s="98"/>
    </row>
    <row r="549" spans="1:1">
      <c r="A549" s="98"/>
    </row>
    <row r="550" spans="1:1">
      <c r="A550" s="98"/>
    </row>
    <row r="551" spans="1:1">
      <c r="A551" s="98"/>
    </row>
    <row r="552" spans="1:1">
      <c r="A552" s="98"/>
    </row>
    <row r="553" spans="1:1">
      <c r="A553" s="98"/>
    </row>
    <row r="554" spans="1:1">
      <c r="A554" s="98"/>
    </row>
    <row r="555" spans="1:1">
      <c r="A555" s="98"/>
    </row>
    <row r="556" spans="1:1">
      <c r="A556" s="98"/>
    </row>
    <row r="557" spans="1:1">
      <c r="A557" s="98"/>
    </row>
    <row r="558" spans="1:1">
      <c r="A558" s="98"/>
    </row>
    <row r="559" spans="1:1">
      <c r="A559" s="98"/>
    </row>
    <row r="560" spans="1:1">
      <c r="A560" s="98"/>
    </row>
    <row r="561" spans="1:1">
      <c r="A561" s="98"/>
    </row>
    <row r="562" spans="1:1">
      <c r="A562" s="98"/>
    </row>
    <row r="563" spans="1:1">
      <c r="A563" s="98"/>
    </row>
    <row r="564" spans="1:1">
      <c r="A564" s="98"/>
    </row>
    <row r="565" spans="1:1">
      <c r="A565" s="98"/>
    </row>
    <row r="566" spans="1:1">
      <c r="A566" s="98"/>
    </row>
    <row r="567" spans="1:1">
      <c r="A567" s="98"/>
    </row>
    <row r="568" spans="1:1">
      <c r="A568" s="98"/>
    </row>
    <row r="569" spans="1:1">
      <c r="A569" s="98"/>
    </row>
    <row r="570" spans="1:1">
      <c r="A570" s="98"/>
    </row>
    <row r="571" spans="1:1">
      <c r="A571" s="98"/>
    </row>
    <row r="572" spans="1:1">
      <c r="A572" s="98"/>
    </row>
    <row r="573" spans="1:1">
      <c r="A573" s="98"/>
    </row>
    <row r="574" spans="1:1">
      <c r="A574" s="98"/>
    </row>
    <row r="575" spans="1:1">
      <c r="A575" s="98"/>
    </row>
    <row r="576" spans="1:1">
      <c r="A576" s="98"/>
    </row>
    <row r="577" spans="1:1">
      <c r="A577" s="98"/>
    </row>
    <row r="578" spans="1:1">
      <c r="A578" s="98"/>
    </row>
    <row r="579" spans="1:1">
      <c r="A579" s="98"/>
    </row>
    <row r="580" spans="1:1">
      <c r="A580" s="98"/>
    </row>
    <row r="581" spans="1:1">
      <c r="A581" s="98"/>
    </row>
    <row r="584" spans="1:1">
      <c r="A584" s="10"/>
    </row>
    <row r="585" spans="1:1">
      <c r="A585" s="10"/>
    </row>
  </sheetData>
  <autoFilter ref="A12:J12"/>
  <mergeCells count="7">
    <mergeCell ref="B1:J1"/>
    <mergeCell ref="B8:G8"/>
    <mergeCell ref="B9:G9"/>
    <mergeCell ref="H6:H8"/>
    <mergeCell ref="H2:H4"/>
    <mergeCell ref="B6:G6"/>
    <mergeCell ref="B7:G7"/>
  </mergeCells>
  <conditionalFormatting sqref="B44:C48 B13:J14 B37:J37 B50:C59 B124:J126 B16:J21 B23:J28 E50:J59 E44:J48 B38:C42 E38:J42 B61:J69 B71:J76 B78:J81 B83:J91 B100:J104 B106:J122 B128:J135 B137:J142 B144:J166 B168:J170 B93:J98 B30:J35">
    <cfRule type="expression" dxfId="174" priority="329">
      <formula>IF($O13="T",TRUE,FALSE)</formula>
    </cfRule>
  </conditionalFormatting>
  <conditionalFormatting sqref="B51:C51 I52:J59 E51:J51 I94:J98 B76:J76 B94:J94 B101:J101 B116:J116 B129:J129 B159:J159">
    <cfRule type="expression" dxfId="173" priority="326">
      <formula>IF($O51="T",TRUE,FALSE)</formula>
    </cfRule>
  </conditionalFormatting>
  <conditionalFormatting sqref="I102:I104">
    <cfRule type="expression" dxfId="172" priority="322">
      <formula>IF($O102="T",TRUE,FALSE)</formula>
    </cfRule>
  </conditionalFormatting>
  <conditionalFormatting sqref="I130:I135">
    <cfRule type="expression" dxfId="171" priority="320">
      <formula>IF($O130="T",TRUE,FALSE)</formula>
    </cfRule>
  </conditionalFormatting>
  <conditionalFormatting sqref="B168:B170 B144:B166 B137:B142 B128:B135 B124:B126 B106:B122 B100:B104 B83:B91 B78:B81 B71:B76 B61:B69 B50:B59 B44:B48 B37:B42 B23:B28 B16:B21 B13:B14 B93:B98 B30:B35">
    <cfRule type="expression" dxfId="170" priority="307">
      <formula>IF($O13="T",TRUE,FALSE)</formula>
    </cfRule>
  </conditionalFormatting>
  <conditionalFormatting sqref="I171">
    <cfRule type="expression" dxfId="169" priority="303">
      <formula>IF($O171="T",TRUE,FALSE)</formula>
    </cfRule>
  </conditionalFormatting>
  <conditionalFormatting sqref="J171">
    <cfRule type="expression" dxfId="168" priority="302">
      <formula>IF($O171="T",TRUE,FALSE)</formula>
    </cfRule>
  </conditionalFormatting>
  <conditionalFormatting sqref="I167">
    <cfRule type="expression" dxfId="167" priority="297">
      <formula>IF($O167="T",TRUE,FALSE)</formula>
    </cfRule>
  </conditionalFormatting>
  <conditionalFormatting sqref="J167">
    <cfRule type="expression" dxfId="166" priority="296">
      <formula>IF($O167="T",TRUE,FALSE)</formula>
    </cfRule>
  </conditionalFormatting>
  <conditionalFormatting sqref="I143">
    <cfRule type="expression" dxfId="165" priority="291">
      <formula>IF($O143="T",TRUE,FALSE)</formula>
    </cfRule>
  </conditionalFormatting>
  <conditionalFormatting sqref="J143">
    <cfRule type="expression" dxfId="164" priority="290">
      <formula>IF($O143="T",TRUE,FALSE)</formula>
    </cfRule>
  </conditionalFormatting>
  <conditionalFormatting sqref="I136">
    <cfRule type="expression" dxfId="163" priority="285">
      <formula>IF($O136="T",TRUE,FALSE)</formula>
    </cfRule>
  </conditionalFormatting>
  <conditionalFormatting sqref="J136">
    <cfRule type="expression" dxfId="162" priority="284">
      <formula>IF($O136="T",TRUE,FALSE)</formula>
    </cfRule>
  </conditionalFormatting>
  <conditionalFormatting sqref="I127">
    <cfRule type="expression" dxfId="161" priority="279">
      <formula>IF($O127="T",TRUE,FALSE)</formula>
    </cfRule>
  </conditionalFormatting>
  <conditionalFormatting sqref="J127">
    <cfRule type="expression" dxfId="160" priority="278">
      <formula>IF($O127="T",TRUE,FALSE)</formula>
    </cfRule>
  </conditionalFormatting>
  <conditionalFormatting sqref="I123">
    <cfRule type="expression" dxfId="159" priority="273">
      <formula>IF($O123="T",TRUE,FALSE)</formula>
    </cfRule>
  </conditionalFormatting>
  <conditionalFormatting sqref="J123">
    <cfRule type="expression" dxfId="158" priority="272">
      <formula>IF($O123="T",TRUE,FALSE)</formula>
    </cfRule>
  </conditionalFormatting>
  <conditionalFormatting sqref="I105">
    <cfRule type="expression" dxfId="157" priority="267">
      <formula>IF($O105="T",TRUE,FALSE)</formula>
    </cfRule>
  </conditionalFormatting>
  <conditionalFormatting sqref="J105">
    <cfRule type="expression" dxfId="156" priority="266">
      <formula>IF($O105="T",TRUE,FALSE)</formula>
    </cfRule>
  </conditionalFormatting>
  <conditionalFormatting sqref="I99">
    <cfRule type="expression" dxfId="155" priority="261">
      <formula>IF($O99="T",TRUE,FALSE)</formula>
    </cfRule>
  </conditionalFormatting>
  <conditionalFormatting sqref="J99">
    <cfRule type="expression" dxfId="154" priority="260">
      <formula>IF($O99="T",TRUE,FALSE)</formula>
    </cfRule>
  </conditionalFormatting>
  <conditionalFormatting sqref="I92">
    <cfRule type="expression" dxfId="153" priority="255">
      <formula>IF($O92="T",TRUE,FALSE)</formula>
    </cfRule>
  </conditionalFormatting>
  <conditionalFormatting sqref="J92">
    <cfRule type="expression" dxfId="152" priority="254">
      <formula>IF($O92="T",TRUE,FALSE)</formula>
    </cfRule>
  </conditionalFormatting>
  <conditionalFormatting sqref="I82">
    <cfRule type="expression" dxfId="151" priority="249">
      <formula>IF($O82="T",TRUE,FALSE)</formula>
    </cfRule>
  </conditionalFormatting>
  <conditionalFormatting sqref="J82">
    <cfRule type="expression" dxfId="150" priority="248">
      <formula>IF($O82="T",TRUE,FALSE)</formula>
    </cfRule>
  </conditionalFormatting>
  <conditionalFormatting sqref="I77">
    <cfRule type="expression" dxfId="149" priority="243">
      <formula>IF($O77="T",TRUE,FALSE)</formula>
    </cfRule>
  </conditionalFormatting>
  <conditionalFormatting sqref="J77">
    <cfRule type="expression" dxfId="148" priority="242">
      <formula>IF($O77="T",TRUE,FALSE)</formula>
    </cfRule>
  </conditionalFormatting>
  <conditionalFormatting sqref="I70">
    <cfRule type="expression" dxfId="147" priority="237">
      <formula>IF($O70="T",TRUE,FALSE)</formula>
    </cfRule>
  </conditionalFormatting>
  <conditionalFormatting sqref="J70">
    <cfRule type="expression" dxfId="146" priority="236">
      <formula>IF($O70="T",TRUE,FALSE)</formula>
    </cfRule>
  </conditionalFormatting>
  <conditionalFormatting sqref="I60">
    <cfRule type="expression" dxfId="145" priority="231">
      <formula>IF($O60="T",TRUE,FALSE)</formula>
    </cfRule>
  </conditionalFormatting>
  <conditionalFormatting sqref="J60">
    <cfRule type="expression" dxfId="144" priority="230">
      <formula>IF($O60="T",TRUE,FALSE)</formula>
    </cfRule>
  </conditionalFormatting>
  <conditionalFormatting sqref="I49">
    <cfRule type="expression" dxfId="143" priority="225">
      <formula>IF($O49="T",TRUE,FALSE)</formula>
    </cfRule>
  </conditionalFormatting>
  <conditionalFormatting sqref="J49">
    <cfRule type="expression" dxfId="142" priority="224">
      <formula>IF($O49="T",TRUE,FALSE)</formula>
    </cfRule>
  </conditionalFormatting>
  <conditionalFormatting sqref="I36">
    <cfRule type="expression" dxfId="141" priority="213">
      <formula>IF($O36="T",TRUE,FALSE)</formula>
    </cfRule>
  </conditionalFormatting>
  <conditionalFormatting sqref="J36">
    <cfRule type="expression" dxfId="140" priority="212">
      <formula>IF($O36="T",TRUE,FALSE)</formula>
    </cfRule>
  </conditionalFormatting>
  <conditionalFormatting sqref="I29">
    <cfRule type="expression" dxfId="139" priority="207">
      <formula>IF($O29="T",TRUE,FALSE)</formula>
    </cfRule>
  </conditionalFormatting>
  <conditionalFormatting sqref="J29">
    <cfRule type="expression" dxfId="138" priority="206">
      <formula>IF($O29="T",TRUE,FALSE)</formula>
    </cfRule>
  </conditionalFormatting>
  <conditionalFormatting sqref="I22">
    <cfRule type="expression" dxfId="137" priority="201">
      <formula>IF($O22="T",TRUE,FALSE)</formula>
    </cfRule>
  </conditionalFormatting>
  <conditionalFormatting sqref="J22">
    <cfRule type="expression" dxfId="136" priority="200">
      <formula>IF($O22="T",TRUE,FALSE)</formula>
    </cfRule>
  </conditionalFormatting>
  <conditionalFormatting sqref="B15">
    <cfRule type="expression" dxfId="135" priority="198">
      <formula>IF($O15="T",TRUE,FALSE)</formula>
    </cfRule>
  </conditionalFormatting>
  <conditionalFormatting sqref="B15">
    <cfRule type="expression" dxfId="134" priority="197">
      <formula>IF($O15="T",TRUE,FALSE)</formula>
    </cfRule>
  </conditionalFormatting>
  <conditionalFormatting sqref="B15">
    <cfRule type="expression" dxfId="133" priority="196">
      <formula>IF($O15="T",TRUE,FALSE)</formula>
    </cfRule>
  </conditionalFormatting>
  <conditionalFormatting sqref="I15">
    <cfRule type="expression" dxfId="132" priority="195">
      <formula>IF($O15="T",TRUE,FALSE)</formula>
    </cfRule>
  </conditionalFormatting>
  <conditionalFormatting sqref="J15">
    <cfRule type="expression" dxfId="131" priority="194">
      <formula>IF($O15="T",TRUE,FALSE)</formula>
    </cfRule>
  </conditionalFormatting>
  <conditionalFormatting sqref="I43">
    <cfRule type="expression" dxfId="130" priority="180">
      <formula>IF($O43="T",TRUE,FALSE)</formula>
    </cfRule>
  </conditionalFormatting>
  <conditionalFormatting sqref="J43">
    <cfRule type="expression" dxfId="129" priority="179">
      <formula>IF($O43="T",TRUE,FALSE)</formula>
    </cfRule>
  </conditionalFormatting>
  <conditionalFormatting sqref="B22">
    <cfRule type="expression" dxfId="128" priority="132">
      <formula>IF($O22="T",TRUE,FALSE)</formula>
    </cfRule>
  </conditionalFormatting>
  <conditionalFormatting sqref="B22">
    <cfRule type="expression" dxfId="127" priority="131">
      <formula>IF($O22="T",TRUE,FALSE)</formula>
    </cfRule>
  </conditionalFormatting>
  <conditionalFormatting sqref="B22">
    <cfRule type="expression" dxfId="126" priority="130">
      <formula>IF($O22="T",TRUE,FALSE)</formula>
    </cfRule>
  </conditionalFormatting>
  <conditionalFormatting sqref="B29">
    <cfRule type="expression" dxfId="125" priority="129">
      <formula>IF($O29="T",TRUE,FALSE)</formula>
    </cfRule>
  </conditionalFormatting>
  <conditionalFormatting sqref="B29">
    <cfRule type="expression" dxfId="124" priority="128">
      <formula>IF($O29="T",TRUE,FALSE)</formula>
    </cfRule>
  </conditionalFormatting>
  <conditionalFormatting sqref="B29">
    <cfRule type="expression" dxfId="123" priority="127">
      <formula>IF($O29="T",TRUE,FALSE)</formula>
    </cfRule>
  </conditionalFormatting>
  <conditionalFormatting sqref="B36">
    <cfRule type="expression" dxfId="122" priority="126">
      <formula>IF($O36="T",TRUE,FALSE)</formula>
    </cfRule>
  </conditionalFormatting>
  <conditionalFormatting sqref="B36">
    <cfRule type="expression" dxfId="121" priority="125">
      <formula>IF($O36="T",TRUE,FALSE)</formula>
    </cfRule>
  </conditionalFormatting>
  <conditionalFormatting sqref="B36">
    <cfRule type="expression" dxfId="120" priority="124">
      <formula>IF($O36="T",TRUE,FALSE)</formula>
    </cfRule>
  </conditionalFormatting>
  <conditionalFormatting sqref="B43">
    <cfRule type="expression" dxfId="119" priority="123">
      <formula>IF($O43="T",TRUE,FALSE)</formula>
    </cfRule>
  </conditionalFormatting>
  <conditionalFormatting sqref="B43">
    <cfRule type="expression" dxfId="118" priority="122">
      <formula>IF($O43="T",TRUE,FALSE)</formula>
    </cfRule>
  </conditionalFormatting>
  <conditionalFormatting sqref="B43">
    <cfRule type="expression" dxfId="117" priority="121">
      <formula>IF($O43="T",TRUE,FALSE)</formula>
    </cfRule>
  </conditionalFormatting>
  <conditionalFormatting sqref="B49">
    <cfRule type="expression" dxfId="116" priority="120">
      <formula>IF($O49="T",TRUE,FALSE)</formula>
    </cfRule>
  </conditionalFormatting>
  <conditionalFormatting sqref="B49">
    <cfRule type="expression" dxfId="115" priority="119">
      <formula>IF($O49="T",TRUE,FALSE)</formula>
    </cfRule>
  </conditionalFormatting>
  <conditionalFormatting sqref="B49">
    <cfRule type="expression" dxfId="114" priority="118">
      <formula>IF($O49="T",TRUE,FALSE)</formula>
    </cfRule>
  </conditionalFormatting>
  <conditionalFormatting sqref="B60">
    <cfRule type="expression" dxfId="113" priority="117">
      <formula>IF($O60="T",TRUE,FALSE)</formula>
    </cfRule>
  </conditionalFormatting>
  <conditionalFormatting sqref="B60">
    <cfRule type="expression" dxfId="112" priority="116">
      <formula>IF($O60="T",TRUE,FALSE)</formula>
    </cfRule>
  </conditionalFormatting>
  <conditionalFormatting sqref="B60">
    <cfRule type="expression" dxfId="111" priority="115">
      <formula>IF($O60="T",TRUE,FALSE)</formula>
    </cfRule>
  </conditionalFormatting>
  <conditionalFormatting sqref="B70">
    <cfRule type="expression" dxfId="110" priority="114">
      <formula>IF($O70="T",TRUE,FALSE)</formula>
    </cfRule>
  </conditionalFormatting>
  <conditionalFormatting sqref="B70">
    <cfRule type="expression" dxfId="109" priority="113">
      <formula>IF($O70="T",TRUE,FALSE)</formula>
    </cfRule>
  </conditionalFormatting>
  <conditionalFormatting sqref="B70">
    <cfRule type="expression" dxfId="108" priority="112">
      <formula>IF($O70="T",TRUE,FALSE)</formula>
    </cfRule>
  </conditionalFormatting>
  <conditionalFormatting sqref="B77">
    <cfRule type="expression" dxfId="107" priority="111">
      <formula>IF($O77="T",TRUE,FALSE)</formula>
    </cfRule>
  </conditionalFormatting>
  <conditionalFormatting sqref="B77">
    <cfRule type="expression" dxfId="106" priority="110">
      <formula>IF($O77="T",TRUE,FALSE)</formula>
    </cfRule>
  </conditionalFormatting>
  <conditionalFormatting sqref="B77">
    <cfRule type="expression" dxfId="105" priority="109">
      <formula>IF($O77="T",TRUE,FALSE)</formula>
    </cfRule>
  </conditionalFormatting>
  <conditionalFormatting sqref="B82">
    <cfRule type="expression" dxfId="104" priority="108">
      <formula>IF($O82="T",TRUE,FALSE)</formula>
    </cfRule>
  </conditionalFormatting>
  <conditionalFormatting sqref="B82">
    <cfRule type="expression" dxfId="103" priority="107">
      <formula>IF($O82="T",TRUE,FALSE)</formula>
    </cfRule>
  </conditionalFormatting>
  <conditionalFormatting sqref="B82">
    <cfRule type="expression" dxfId="102" priority="106">
      <formula>IF($O82="T",TRUE,FALSE)</formula>
    </cfRule>
  </conditionalFormatting>
  <conditionalFormatting sqref="B92">
    <cfRule type="expression" dxfId="101" priority="105">
      <formula>IF($O92="T",TRUE,FALSE)</formula>
    </cfRule>
  </conditionalFormatting>
  <conditionalFormatting sqref="B92">
    <cfRule type="expression" dxfId="100" priority="104">
      <formula>IF($O92="T",TRUE,FALSE)</formula>
    </cfRule>
  </conditionalFormatting>
  <conditionalFormatting sqref="B92">
    <cfRule type="expression" dxfId="99" priority="103">
      <formula>IF($O92="T",TRUE,FALSE)</formula>
    </cfRule>
  </conditionalFormatting>
  <conditionalFormatting sqref="B99">
    <cfRule type="expression" dxfId="98" priority="102">
      <formula>IF($O99="T",TRUE,FALSE)</formula>
    </cfRule>
  </conditionalFormatting>
  <conditionalFormatting sqref="B99">
    <cfRule type="expression" dxfId="97" priority="101">
      <formula>IF($O99="T",TRUE,FALSE)</formula>
    </cfRule>
  </conditionalFormatting>
  <conditionalFormatting sqref="B99">
    <cfRule type="expression" dxfId="96" priority="100">
      <formula>IF($O99="T",TRUE,FALSE)</formula>
    </cfRule>
  </conditionalFormatting>
  <conditionalFormatting sqref="B105">
    <cfRule type="expression" dxfId="95" priority="99">
      <formula>IF($O105="T",TRUE,FALSE)</formula>
    </cfRule>
  </conditionalFormatting>
  <conditionalFormatting sqref="B105">
    <cfRule type="expression" dxfId="94" priority="98">
      <formula>IF($O105="T",TRUE,FALSE)</formula>
    </cfRule>
  </conditionalFormatting>
  <conditionalFormatting sqref="B105">
    <cfRule type="expression" dxfId="93" priority="97">
      <formula>IF($O105="T",TRUE,FALSE)</formula>
    </cfRule>
  </conditionalFormatting>
  <conditionalFormatting sqref="B123">
    <cfRule type="expression" dxfId="92" priority="96">
      <formula>IF($O123="T",TRUE,FALSE)</formula>
    </cfRule>
  </conditionalFormatting>
  <conditionalFormatting sqref="B123">
    <cfRule type="expression" dxfId="91" priority="95">
      <formula>IF($O123="T",TRUE,FALSE)</formula>
    </cfRule>
  </conditionalFormatting>
  <conditionalFormatting sqref="B123">
    <cfRule type="expression" dxfId="90" priority="94">
      <formula>IF($O123="T",TRUE,FALSE)</formula>
    </cfRule>
  </conditionalFormatting>
  <conditionalFormatting sqref="B127">
    <cfRule type="expression" dxfId="89" priority="93">
      <formula>IF($O127="T",TRUE,FALSE)</formula>
    </cfRule>
  </conditionalFormatting>
  <conditionalFormatting sqref="B127">
    <cfRule type="expression" dxfId="88" priority="92">
      <formula>IF($O127="T",TRUE,FALSE)</formula>
    </cfRule>
  </conditionalFormatting>
  <conditionalFormatting sqref="B127">
    <cfRule type="expression" dxfId="87" priority="91">
      <formula>IF($O127="T",TRUE,FALSE)</formula>
    </cfRule>
  </conditionalFormatting>
  <conditionalFormatting sqref="B136">
    <cfRule type="expression" dxfId="86" priority="90">
      <formula>IF($O136="T",TRUE,FALSE)</formula>
    </cfRule>
  </conditionalFormatting>
  <conditionalFormatting sqref="B136">
    <cfRule type="expression" dxfId="85" priority="89">
      <formula>IF($O136="T",TRUE,FALSE)</formula>
    </cfRule>
  </conditionalFormatting>
  <conditionalFormatting sqref="B136">
    <cfRule type="expression" dxfId="84" priority="88">
      <formula>IF($O136="T",TRUE,FALSE)</formula>
    </cfRule>
  </conditionalFormatting>
  <conditionalFormatting sqref="B143">
    <cfRule type="expression" dxfId="83" priority="87">
      <formula>IF($O143="T",TRUE,FALSE)</formula>
    </cfRule>
  </conditionalFormatting>
  <conditionalFormatting sqref="B143">
    <cfRule type="expression" dxfId="82" priority="86">
      <formula>IF($O143="T",TRUE,FALSE)</formula>
    </cfRule>
  </conditionalFormatting>
  <conditionalFormatting sqref="B143">
    <cfRule type="expression" dxfId="81" priority="85">
      <formula>IF($O143="T",TRUE,FALSE)</formula>
    </cfRule>
  </conditionalFormatting>
  <conditionalFormatting sqref="B167">
    <cfRule type="expression" dxfId="80" priority="84">
      <formula>IF($O167="T",TRUE,FALSE)</formula>
    </cfRule>
  </conditionalFormatting>
  <conditionalFormatting sqref="B167">
    <cfRule type="expression" dxfId="79" priority="83">
      <formula>IF($O167="T",TRUE,FALSE)</formula>
    </cfRule>
  </conditionalFormatting>
  <conditionalFormatting sqref="B167">
    <cfRule type="expression" dxfId="78" priority="82">
      <formula>IF($O167="T",TRUE,FALSE)</formula>
    </cfRule>
  </conditionalFormatting>
  <conditionalFormatting sqref="B171">
    <cfRule type="expression" dxfId="77" priority="81">
      <formula>IF($O171="T",TRUE,FALSE)</formula>
    </cfRule>
  </conditionalFormatting>
  <conditionalFormatting sqref="B171">
    <cfRule type="expression" dxfId="76" priority="80">
      <formula>IF($O171="T",TRUE,FALSE)</formula>
    </cfRule>
  </conditionalFormatting>
  <conditionalFormatting sqref="B171">
    <cfRule type="expression" dxfId="75" priority="79">
      <formula>IF($O171="T",TRUE,FALSE)</formula>
    </cfRule>
  </conditionalFormatting>
  <conditionalFormatting sqref="I62:I69">
    <cfRule type="expression" dxfId="74" priority="78">
      <formula>IF($O62="T",TRUE,FALSE)</formula>
    </cfRule>
  </conditionalFormatting>
  <conditionalFormatting sqref="I72:I76">
    <cfRule type="expression" dxfId="73" priority="77">
      <formula>IF($O72="T",TRUE,FALSE)</formula>
    </cfRule>
  </conditionalFormatting>
  <conditionalFormatting sqref="I79:I81">
    <cfRule type="expression" dxfId="72" priority="76">
      <formula>IF($O79="T",TRUE,FALSE)</formula>
    </cfRule>
  </conditionalFormatting>
  <conditionalFormatting sqref="I79:I81">
    <cfRule type="expression" dxfId="71" priority="75">
      <formula>IF($O79="T",TRUE,FALSE)</formula>
    </cfRule>
  </conditionalFormatting>
  <conditionalFormatting sqref="I84:I91">
    <cfRule type="expression" dxfId="70" priority="74">
      <formula>IF($O84="T",TRUE,FALSE)</formula>
    </cfRule>
  </conditionalFormatting>
  <conditionalFormatting sqref="I84:I91">
    <cfRule type="expression" dxfId="69" priority="73">
      <formula>IF($O84="T",TRUE,FALSE)</formula>
    </cfRule>
  </conditionalFormatting>
  <conditionalFormatting sqref="I101:I104">
    <cfRule type="expression" dxfId="68" priority="70">
      <formula>IF($O101="T",TRUE,FALSE)</formula>
    </cfRule>
  </conditionalFormatting>
  <conditionalFormatting sqref="I101:I104">
    <cfRule type="expression" dxfId="67" priority="69">
      <formula>IF($O101="T",TRUE,FALSE)</formula>
    </cfRule>
  </conditionalFormatting>
  <conditionalFormatting sqref="I101:I104">
    <cfRule type="expression" dxfId="66" priority="68">
      <formula>IF($O101="T",TRUE,FALSE)</formula>
    </cfRule>
  </conditionalFormatting>
  <conditionalFormatting sqref="I107:I122">
    <cfRule type="expression" dxfId="65" priority="67">
      <formula>IF($O107="T",TRUE,FALSE)</formula>
    </cfRule>
  </conditionalFormatting>
  <conditionalFormatting sqref="I107:I122">
    <cfRule type="expression" dxfId="64" priority="66">
      <formula>IF($O107="T",TRUE,FALSE)</formula>
    </cfRule>
  </conditionalFormatting>
  <conditionalFormatting sqref="I107:I122">
    <cfRule type="expression" dxfId="63" priority="65">
      <formula>IF($O107="T",TRUE,FALSE)</formula>
    </cfRule>
  </conditionalFormatting>
  <conditionalFormatting sqref="I107:I122">
    <cfRule type="expression" dxfId="62" priority="64">
      <formula>IF($O107="T",TRUE,FALSE)</formula>
    </cfRule>
  </conditionalFormatting>
  <conditionalFormatting sqref="I125:I126">
    <cfRule type="expression" dxfId="61" priority="63">
      <formula>IF($O125="T",TRUE,FALSE)</formula>
    </cfRule>
  </conditionalFormatting>
  <conditionalFormatting sqref="I125:I126">
    <cfRule type="expression" dxfId="60" priority="62">
      <formula>IF($O125="T",TRUE,FALSE)</formula>
    </cfRule>
  </conditionalFormatting>
  <conditionalFormatting sqref="I125:I126">
    <cfRule type="expression" dxfId="59" priority="61">
      <formula>IF($O125="T",TRUE,FALSE)</formula>
    </cfRule>
  </conditionalFormatting>
  <conditionalFormatting sqref="I125:I126">
    <cfRule type="expression" dxfId="58" priority="60">
      <formula>IF($O125="T",TRUE,FALSE)</formula>
    </cfRule>
  </conditionalFormatting>
  <conditionalFormatting sqref="I129:I135">
    <cfRule type="expression" dxfId="57" priority="59">
      <formula>IF($O129="T",TRUE,FALSE)</formula>
    </cfRule>
  </conditionalFormatting>
  <conditionalFormatting sqref="I129:I135">
    <cfRule type="expression" dxfId="56" priority="58">
      <formula>IF($O129="T",TRUE,FALSE)</formula>
    </cfRule>
  </conditionalFormatting>
  <conditionalFormatting sqref="I129:I135">
    <cfRule type="expression" dxfId="55" priority="57">
      <formula>IF($O129="T",TRUE,FALSE)</formula>
    </cfRule>
  </conditionalFormatting>
  <conditionalFormatting sqref="I129:I135">
    <cfRule type="expression" dxfId="54" priority="56">
      <formula>IF($O129="T",TRUE,FALSE)</formula>
    </cfRule>
  </conditionalFormatting>
  <conditionalFormatting sqref="I138:I142">
    <cfRule type="expression" dxfId="53" priority="55">
      <formula>IF($O138="T",TRUE,FALSE)</formula>
    </cfRule>
  </conditionalFormatting>
  <conditionalFormatting sqref="I138:I142">
    <cfRule type="expression" dxfId="52" priority="54">
      <formula>IF($O138="T",TRUE,FALSE)</formula>
    </cfRule>
  </conditionalFormatting>
  <conditionalFormatting sqref="I138:I142">
    <cfRule type="expression" dxfId="51" priority="53">
      <formula>IF($O138="T",TRUE,FALSE)</formula>
    </cfRule>
  </conditionalFormatting>
  <conditionalFormatting sqref="I138:I142">
    <cfRule type="expression" dxfId="50" priority="52">
      <formula>IF($O138="T",TRUE,FALSE)</formula>
    </cfRule>
  </conditionalFormatting>
  <conditionalFormatting sqref="I138:I142">
    <cfRule type="expression" dxfId="49" priority="51">
      <formula>IF($O138="T",TRUE,FALSE)</formula>
    </cfRule>
  </conditionalFormatting>
  <conditionalFormatting sqref="I145:I166">
    <cfRule type="expression" dxfId="48" priority="50">
      <formula>IF($O145="T",TRUE,FALSE)</formula>
    </cfRule>
  </conditionalFormatting>
  <conditionalFormatting sqref="I145:I166">
    <cfRule type="expression" dxfId="47" priority="49">
      <formula>IF($O145="T",TRUE,FALSE)</formula>
    </cfRule>
  </conditionalFormatting>
  <conditionalFormatting sqref="I145:I166">
    <cfRule type="expression" dxfId="46" priority="48">
      <formula>IF($O145="T",TRUE,FALSE)</formula>
    </cfRule>
  </conditionalFormatting>
  <conditionalFormatting sqref="I145:I166">
    <cfRule type="expression" dxfId="45" priority="47">
      <formula>IF($O145="T",TRUE,FALSE)</formula>
    </cfRule>
  </conditionalFormatting>
  <conditionalFormatting sqref="I145:I166">
    <cfRule type="expression" dxfId="44" priority="46">
      <formula>IF($O145="T",TRUE,FALSE)</formula>
    </cfRule>
  </conditionalFormatting>
  <conditionalFormatting sqref="J62:J69">
    <cfRule type="expression" dxfId="43" priority="45">
      <formula>IF($O62="T",TRUE,FALSE)</formula>
    </cfRule>
  </conditionalFormatting>
  <conditionalFormatting sqref="J72:J76">
    <cfRule type="expression" dxfId="42" priority="44">
      <formula>IF($O72="T",TRUE,FALSE)</formula>
    </cfRule>
  </conditionalFormatting>
  <conditionalFormatting sqref="J79:J81">
    <cfRule type="expression" dxfId="41" priority="43">
      <formula>IF($O79="T",TRUE,FALSE)</formula>
    </cfRule>
  </conditionalFormatting>
  <conditionalFormatting sqref="J79:J81">
    <cfRule type="expression" dxfId="40" priority="42">
      <formula>IF($O79="T",TRUE,FALSE)</formula>
    </cfRule>
  </conditionalFormatting>
  <conditionalFormatting sqref="J84:J91">
    <cfRule type="expression" dxfId="39" priority="41">
      <formula>IF($O84="T",TRUE,FALSE)</formula>
    </cfRule>
  </conditionalFormatting>
  <conditionalFormatting sqref="J84:J91">
    <cfRule type="expression" dxfId="38" priority="40">
      <formula>IF($O84="T",TRUE,FALSE)</formula>
    </cfRule>
  </conditionalFormatting>
  <conditionalFormatting sqref="J101:J104">
    <cfRule type="expression" dxfId="37" priority="37">
      <formula>IF($O101="T",TRUE,FALSE)</formula>
    </cfRule>
  </conditionalFormatting>
  <conditionalFormatting sqref="J101:J104">
    <cfRule type="expression" dxfId="36" priority="36">
      <formula>IF($O101="T",TRUE,FALSE)</formula>
    </cfRule>
  </conditionalFormatting>
  <conditionalFormatting sqref="J107:J122">
    <cfRule type="expression" dxfId="35" priority="35">
      <formula>IF($O107="T",TRUE,FALSE)</formula>
    </cfRule>
  </conditionalFormatting>
  <conditionalFormatting sqref="J107:J122">
    <cfRule type="expression" dxfId="34" priority="34">
      <formula>IF($O107="T",TRUE,FALSE)</formula>
    </cfRule>
  </conditionalFormatting>
  <conditionalFormatting sqref="J125:J126">
    <cfRule type="expression" dxfId="33" priority="33">
      <formula>IF($O125="T",TRUE,FALSE)</formula>
    </cfRule>
  </conditionalFormatting>
  <conditionalFormatting sqref="J125:J126">
    <cfRule type="expression" dxfId="32" priority="32">
      <formula>IF($O125="T",TRUE,FALSE)</formula>
    </cfRule>
  </conditionalFormatting>
  <conditionalFormatting sqref="J129:J135">
    <cfRule type="expression" dxfId="31" priority="31">
      <formula>IF($O129="T",TRUE,FALSE)</formula>
    </cfRule>
  </conditionalFormatting>
  <conditionalFormatting sqref="J129:J135">
    <cfRule type="expression" dxfId="30" priority="30">
      <formula>IF($O129="T",TRUE,FALSE)</formula>
    </cfRule>
  </conditionalFormatting>
  <conditionalFormatting sqref="J135">
    <cfRule type="expression" dxfId="29" priority="29">
      <formula>IF($O135="T",TRUE,FALSE)</formula>
    </cfRule>
  </conditionalFormatting>
  <conditionalFormatting sqref="J135">
    <cfRule type="expression" dxfId="28" priority="28">
      <formula>IF($O135="T",TRUE,FALSE)</formula>
    </cfRule>
  </conditionalFormatting>
  <conditionalFormatting sqref="J138:J142">
    <cfRule type="expression" dxfId="27" priority="27">
      <formula>IF($O138="T",TRUE,FALSE)</formula>
    </cfRule>
  </conditionalFormatting>
  <conditionalFormatting sqref="J138:J142">
    <cfRule type="expression" dxfId="26" priority="26">
      <formula>IF($O138="T",TRUE,FALSE)</formula>
    </cfRule>
  </conditionalFormatting>
  <conditionalFormatting sqref="J138:J142">
    <cfRule type="expression" dxfId="25" priority="25">
      <formula>IF($O138="T",TRUE,FALSE)</formula>
    </cfRule>
  </conditionalFormatting>
  <conditionalFormatting sqref="J138:J142">
    <cfRule type="expression" dxfId="24" priority="24">
      <formula>IF($O138="T",TRUE,FALSE)</formula>
    </cfRule>
  </conditionalFormatting>
  <conditionalFormatting sqref="J145:J166">
    <cfRule type="expression" dxfId="23" priority="23">
      <formula>IF($O145="T",TRUE,FALSE)</formula>
    </cfRule>
  </conditionalFormatting>
  <conditionalFormatting sqref="J145:J166">
    <cfRule type="expression" dxfId="22" priority="22">
      <formula>IF($O145="T",TRUE,FALSE)</formula>
    </cfRule>
  </conditionalFormatting>
  <conditionalFormatting sqref="J145:J166">
    <cfRule type="expression" dxfId="21" priority="21">
      <formula>IF($O145="T",TRUE,FALSE)</formula>
    </cfRule>
  </conditionalFormatting>
  <conditionalFormatting sqref="J145:J166">
    <cfRule type="expression" dxfId="20" priority="20">
      <formula>IF($O145="T",TRUE,FALSE)</formula>
    </cfRule>
  </conditionalFormatting>
  <conditionalFormatting sqref="J170">
    <cfRule type="expression" dxfId="19" priority="19">
      <formula>IF($O170="T",TRUE,FALSE)</formula>
    </cfRule>
  </conditionalFormatting>
  <conditionalFormatting sqref="J170">
    <cfRule type="expression" dxfId="18" priority="18">
      <formula>IF($O170="T",TRUE,FALSE)</formula>
    </cfRule>
  </conditionalFormatting>
  <conditionalFormatting sqref="J170">
    <cfRule type="expression" dxfId="17" priority="17">
      <formula>IF($O170="T",TRUE,FALSE)</formula>
    </cfRule>
  </conditionalFormatting>
  <conditionalFormatting sqref="J170">
    <cfRule type="expression" dxfId="16" priority="16">
      <formula>IF($O170="T",TRUE,FALSE)</formula>
    </cfRule>
  </conditionalFormatting>
  <conditionalFormatting sqref="D38:D59">
    <cfRule type="expression" dxfId="15" priority="15">
      <formula>IF($O38="T",TRUE,FALSE)</formula>
    </cfRule>
  </conditionalFormatting>
  <conditionalFormatting sqref="I169">
    <cfRule type="expression" dxfId="14" priority="14">
      <formula>IF($O169="T",TRUE,FALSE)</formula>
    </cfRule>
  </conditionalFormatting>
  <conditionalFormatting sqref="I169">
    <cfRule type="expression" dxfId="13" priority="13">
      <formula>IF($O169="T",TRUE,FALSE)</formula>
    </cfRule>
  </conditionalFormatting>
  <conditionalFormatting sqref="I169">
    <cfRule type="expression" dxfId="12" priority="12">
      <formula>IF($O169="T",TRUE,FALSE)</formula>
    </cfRule>
  </conditionalFormatting>
  <conditionalFormatting sqref="I169">
    <cfRule type="expression" dxfId="11" priority="11">
      <formula>IF($O169="T",TRUE,FALSE)</formula>
    </cfRule>
  </conditionalFormatting>
  <conditionalFormatting sqref="I169">
    <cfRule type="expression" dxfId="10" priority="10">
      <formula>IF($O169="T",TRUE,FALSE)</formula>
    </cfRule>
  </conditionalFormatting>
  <conditionalFormatting sqref="I170">
    <cfRule type="expression" dxfId="9" priority="9">
      <formula>IF($O170="T",TRUE,FALSE)</formula>
    </cfRule>
  </conditionalFormatting>
  <conditionalFormatting sqref="I170">
    <cfRule type="expression" dxfId="8" priority="8">
      <formula>IF($O170="T",TRUE,FALSE)</formula>
    </cfRule>
  </conditionalFormatting>
  <conditionalFormatting sqref="I170">
    <cfRule type="expression" dxfId="7" priority="7">
      <formula>IF($O170="T",TRUE,FALSE)</formula>
    </cfRule>
  </conditionalFormatting>
  <conditionalFormatting sqref="I170">
    <cfRule type="expression" dxfId="6" priority="6">
      <formula>IF($O170="T",TRUE,FALSE)</formula>
    </cfRule>
  </conditionalFormatting>
  <conditionalFormatting sqref="I170">
    <cfRule type="expression" dxfId="5" priority="5">
      <formula>IF($O170="T",TRUE,FALSE)</formula>
    </cfRule>
  </conditionalFormatting>
  <conditionalFormatting sqref="J169">
    <cfRule type="expression" dxfId="4" priority="4">
      <formula>IF($O169="T",TRUE,FALSE)</formula>
    </cfRule>
  </conditionalFormatting>
  <conditionalFormatting sqref="J169">
    <cfRule type="expression" dxfId="3" priority="3">
      <formula>IF($O169="T",TRUE,FALSE)</formula>
    </cfRule>
  </conditionalFormatting>
  <conditionalFormatting sqref="J169">
    <cfRule type="expression" dxfId="2" priority="2">
      <formula>IF($O169="T",TRUE,FALSE)</formula>
    </cfRule>
  </conditionalFormatting>
  <conditionalFormatting sqref="J169">
    <cfRule type="expression" dxfId="1" priority="1">
      <formula>IF($O169="T",TRUE,FALSE)</formula>
    </cfRule>
  </conditionalFormatting>
  <dataValidations disablePrompts="1" count="1">
    <dataValidation type="list" errorStyle="warning" showInputMessage="1" showErrorMessage="1" error="ESCOLHA UMA ORIGEM DE PREÇOS VÁLIDA" prompt="ESCOLHA UMA ORIGEM DE PREÇOS" sqref="D172:D1048576">
      <formula1>"SINAPI,SINAPI-I,CPOS,COMPOSIÇÃO,COTAÇÃO"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>&amp;L&amp;D&amp;C&amp;F&amp;RPágina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7">
    <pageSetUpPr fitToPage="1"/>
  </sheetPr>
  <dimension ref="A3:P55"/>
  <sheetViews>
    <sheetView showZeros="0" topLeftCell="A25" zoomScaleSheetLayoutView="115" workbookViewId="0">
      <pane xSplit="3" topLeftCell="D1" activePane="topRight" state="frozen"/>
      <selection pane="topRight" activeCell="P50" sqref="P50"/>
    </sheetView>
  </sheetViews>
  <sheetFormatPr defaultRowHeight="12"/>
  <cols>
    <col min="1" max="1" width="3.7109375" style="2" customWidth="1"/>
    <col min="2" max="2" width="6.140625" style="1" customWidth="1"/>
    <col min="3" max="3" width="34.85546875" style="2" customWidth="1"/>
    <col min="4" max="4" width="15" style="2" bestFit="1" customWidth="1"/>
    <col min="5" max="5" width="9" style="2" bestFit="1" customWidth="1"/>
    <col min="6" max="6" width="9.85546875" style="2" bestFit="1" customWidth="1"/>
    <col min="7" max="7" width="8" style="2" bestFit="1" customWidth="1"/>
    <col min="8" max="8" width="9.85546875" style="2" bestFit="1" customWidth="1"/>
    <col min="9" max="9" width="8" style="2" bestFit="1" customWidth="1"/>
    <col min="10" max="10" width="9.85546875" style="2" bestFit="1" customWidth="1"/>
    <col min="11" max="11" width="8" style="2" bestFit="1" customWidth="1"/>
    <col min="12" max="12" width="11.28515625" style="2" bestFit="1" customWidth="1"/>
    <col min="13" max="13" width="8" style="2" bestFit="1" customWidth="1"/>
    <col min="14" max="14" width="11.28515625" style="2" bestFit="1" customWidth="1"/>
    <col min="15" max="15" width="8" style="2" bestFit="1" customWidth="1"/>
    <col min="16" max="16" width="11.28515625" style="2" bestFit="1" customWidth="1"/>
    <col min="17" max="16384" width="9.140625" style="2"/>
  </cols>
  <sheetData>
    <row r="3" spans="1:16" ht="15" customHeight="1">
      <c r="B3" s="429" t="s">
        <v>6</v>
      </c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</row>
    <row r="4" spans="1:16" ht="15" customHeight="1">
      <c r="B4" s="430" t="str">
        <f>OBJETO</f>
        <v>Construção de Piscina, Banheiros e Sauna no Centro de Lazer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</row>
    <row r="5" spans="1:16" ht="15" customHeight="1">
      <c r="B5" s="430" t="str">
        <f>LOCAL</f>
        <v>R. Dr. José Luís Cembraneli, 511 - Vila Olimpya, Cordeirópolis - SP, 13491-122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</row>
    <row r="6" spans="1:16" ht="13.5" thickBot="1">
      <c r="B6" s="152"/>
      <c r="C6" s="152"/>
      <c r="D6" s="152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</row>
    <row r="7" spans="1:16" ht="12.75">
      <c r="A7" s="151" t="s">
        <v>87</v>
      </c>
      <c r="B7" s="425" t="s">
        <v>0</v>
      </c>
      <c r="C7" s="423" t="s">
        <v>1</v>
      </c>
      <c r="D7" s="421" t="s">
        <v>3</v>
      </c>
      <c r="E7" s="419" t="s">
        <v>7</v>
      </c>
      <c r="F7" s="420"/>
      <c r="G7" s="419" t="s">
        <v>10</v>
      </c>
      <c r="H7" s="420"/>
      <c r="I7" s="419" t="s">
        <v>83</v>
      </c>
      <c r="J7" s="420"/>
      <c r="K7" s="419" t="s">
        <v>84</v>
      </c>
      <c r="L7" s="420"/>
      <c r="M7" s="419" t="s">
        <v>85</v>
      </c>
      <c r="N7" s="420"/>
      <c r="O7" s="419" t="s">
        <v>86</v>
      </c>
      <c r="P7" s="420"/>
    </row>
    <row r="8" spans="1:16" ht="12.75">
      <c r="A8" s="151" t="str">
        <f>"M"</f>
        <v>M</v>
      </c>
      <c r="B8" s="426"/>
      <c r="C8" s="424"/>
      <c r="D8" s="422"/>
      <c r="E8" s="140" t="s">
        <v>8</v>
      </c>
      <c r="F8" s="141" t="s">
        <v>9</v>
      </c>
      <c r="G8" s="140" t="s">
        <v>8</v>
      </c>
      <c r="H8" s="141" t="s">
        <v>9</v>
      </c>
      <c r="I8" s="140" t="s">
        <v>8</v>
      </c>
      <c r="J8" s="141" t="s">
        <v>9</v>
      </c>
      <c r="K8" s="140" t="s">
        <v>8</v>
      </c>
      <c r="L8" s="141" t="s">
        <v>9</v>
      </c>
      <c r="M8" s="140" t="s">
        <v>8</v>
      </c>
      <c r="N8" s="141" t="s">
        <v>9</v>
      </c>
      <c r="O8" s="140" t="s">
        <v>8</v>
      </c>
      <c r="P8" s="141" t="s">
        <v>9</v>
      </c>
    </row>
    <row r="9" spans="1:16" ht="12.75">
      <c r="A9" s="151" t="str">
        <f>IF(D9=0,"O","M")</f>
        <v>M</v>
      </c>
      <c r="B9" s="322">
        <v>1</v>
      </c>
      <c r="C9" s="259" t="str">
        <f>VLOOKUP(B9,PLANILHA!B:J,2)</f>
        <v>SERVIÇOS PRELIMINARES</v>
      </c>
      <c r="D9" s="323">
        <f>PLANILHA!J15</f>
        <v>4555.2786839999999</v>
      </c>
      <c r="E9" s="194">
        <v>0.5</v>
      </c>
      <c r="F9" s="142">
        <f>TRUNC($D9*E9,2)</f>
        <v>2277.63</v>
      </c>
      <c r="G9" s="194">
        <v>0.1</v>
      </c>
      <c r="H9" s="142">
        <f>TRUNC($D9*G9,2)</f>
        <v>455.52</v>
      </c>
      <c r="I9" s="194">
        <v>0.1</v>
      </c>
      <c r="J9" s="142">
        <f>TRUNC($D9*I9,2)</f>
        <v>455.52</v>
      </c>
      <c r="K9" s="194">
        <v>0.1</v>
      </c>
      <c r="L9" s="142">
        <f>TRUNC($D9*K9,2)</f>
        <v>455.52</v>
      </c>
      <c r="M9" s="194">
        <v>0.1</v>
      </c>
      <c r="N9" s="142">
        <f>TRUNC($D9*M9,2)</f>
        <v>455.52</v>
      </c>
      <c r="O9" s="194">
        <v>0.1</v>
      </c>
      <c r="P9" s="142">
        <f>TRUNC($D9*O9,2)</f>
        <v>455.52</v>
      </c>
    </row>
    <row r="10" spans="1:16" ht="3" customHeight="1">
      <c r="A10" s="151"/>
      <c r="B10" s="324"/>
      <c r="C10" s="325"/>
      <c r="D10" s="326"/>
      <c r="E10" s="279" t="str">
        <f>IF(E9&lt;&gt;0,"COLORIR","")</f>
        <v>COLORIR</v>
      </c>
      <c r="F10" s="280" t="str">
        <f t="shared" ref="F10" si="0">IF(F9&lt;&gt;0,"COLORIR","")</f>
        <v>COLORIR</v>
      </c>
      <c r="G10" s="280" t="str">
        <f t="shared" ref="G10" si="1">IF(G9&lt;&gt;0,"COLORIR","")</f>
        <v>COLORIR</v>
      </c>
      <c r="H10" s="280" t="str">
        <f t="shared" ref="H10" si="2">IF(H9&lt;&gt;0,"COLORIR","")</f>
        <v>COLORIR</v>
      </c>
      <c r="I10" s="280" t="str">
        <f t="shared" ref="I10" si="3">IF(I9&lt;&gt;0,"COLORIR","")</f>
        <v>COLORIR</v>
      </c>
      <c r="J10" s="280" t="str">
        <f t="shared" ref="J10" si="4">IF(J9&lt;&gt;0,"COLORIR","")</f>
        <v>COLORIR</v>
      </c>
      <c r="K10" s="280" t="str">
        <f t="shared" ref="K10" si="5">IF(K9&lt;&gt;0,"COLORIR","")</f>
        <v>COLORIR</v>
      </c>
      <c r="L10" s="280" t="str">
        <f t="shared" ref="L10" si="6">IF(L9&lt;&gt;0,"COLORIR","")</f>
        <v>COLORIR</v>
      </c>
      <c r="M10" s="280" t="str">
        <f t="shared" ref="M10" si="7">IF(M9&lt;&gt;0,"COLORIR","")</f>
        <v>COLORIR</v>
      </c>
      <c r="N10" s="280" t="str">
        <f t="shared" ref="N10" si="8">IF(N9&lt;&gt;0,"COLORIR","")</f>
        <v>COLORIR</v>
      </c>
      <c r="O10" s="280" t="str">
        <f t="shared" ref="O10" si="9">IF(O9&lt;&gt;0,"COLORIR","")</f>
        <v>COLORIR</v>
      </c>
      <c r="P10" s="281" t="str">
        <f t="shared" ref="P10" si="10">IF(P9&lt;&gt;0,"COLORIR","")</f>
        <v>COLORIR</v>
      </c>
    </row>
    <row r="11" spans="1:16" ht="12.75">
      <c r="A11" s="151" t="str">
        <f t="shared" ref="A11:A37" si="11">IF(D11=0,"O","M")</f>
        <v>M</v>
      </c>
      <c r="B11" s="322">
        <v>2</v>
      </c>
      <c r="C11" s="259" t="str">
        <f>VLOOKUP(B11,PLANILHA!B:J,2)</f>
        <v>DEMOLIÇÕES E RETIRADAS</v>
      </c>
      <c r="D11" s="323">
        <f>PLANILHA!J22</f>
        <v>163402.63676987999</v>
      </c>
      <c r="E11" s="194">
        <v>1</v>
      </c>
      <c r="F11" s="142">
        <f t="shared" ref="F11:F37" si="12">TRUNC($D11*E11,2)</f>
        <v>163402.63</v>
      </c>
      <c r="G11" s="194"/>
      <c r="H11" s="142">
        <f t="shared" ref="H11:J35" si="13">TRUNC($D11*G11,2)</f>
        <v>0</v>
      </c>
      <c r="I11" s="194"/>
      <c r="J11" s="142">
        <f t="shared" ref="J11:J37" si="14">TRUNC($D11*I11,2)</f>
        <v>0</v>
      </c>
      <c r="K11" s="194"/>
      <c r="L11" s="142">
        <f t="shared" ref="L11:L37" si="15">TRUNC($D11*K11,2)</f>
        <v>0</v>
      </c>
      <c r="M11" s="194"/>
      <c r="N11" s="142">
        <f t="shared" ref="N11:N37" si="16">TRUNC($D11*M11,2)</f>
        <v>0</v>
      </c>
      <c r="O11" s="194"/>
      <c r="P11" s="142">
        <f t="shared" ref="P11:P37" si="17">TRUNC($D11*O11,2)</f>
        <v>0</v>
      </c>
    </row>
    <row r="12" spans="1:16" ht="3" customHeight="1">
      <c r="A12" s="151"/>
      <c r="B12" s="324"/>
      <c r="C12" s="325"/>
      <c r="D12" s="326"/>
      <c r="E12" s="279" t="str">
        <f>IF(E11&lt;&gt;0,"COLORIR","")</f>
        <v>COLORIR</v>
      </c>
      <c r="F12" s="280" t="str">
        <f t="shared" ref="F12" si="18">IF(F11&lt;&gt;0,"COLORIR","")</f>
        <v>COLORIR</v>
      </c>
      <c r="G12" s="280" t="str">
        <f t="shared" ref="G12" si="19">IF(G11&lt;&gt;0,"COLORIR","")</f>
        <v/>
      </c>
      <c r="H12" s="280" t="str">
        <f t="shared" ref="H12" si="20">IF(H11&lt;&gt;0,"COLORIR","")</f>
        <v/>
      </c>
      <c r="I12" s="280" t="str">
        <f t="shared" ref="I12" si="21">IF(I11&lt;&gt;0,"COLORIR","")</f>
        <v/>
      </c>
      <c r="J12" s="280" t="str">
        <f t="shared" ref="J12" si="22">IF(J11&lt;&gt;0,"COLORIR","")</f>
        <v/>
      </c>
      <c r="K12" s="280" t="str">
        <f t="shared" ref="K12" si="23">IF(K11&lt;&gt;0,"COLORIR","")</f>
        <v/>
      </c>
      <c r="L12" s="280" t="str">
        <f t="shared" ref="L12" si="24">IF(L11&lt;&gt;0,"COLORIR","")</f>
        <v/>
      </c>
      <c r="M12" s="280" t="str">
        <f t="shared" ref="M12" si="25">IF(M11&lt;&gt;0,"COLORIR","")</f>
        <v/>
      </c>
      <c r="N12" s="280" t="str">
        <f t="shared" ref="N12" si="26">IF(N11&lt;&gt;0,"COLORIR","")</f>
        <v/>
      </c>
      <c r="O12" s="280" t="str">
        <f t="shared" ref="O12" si="27">IF(O11&lt;&gt;0,"COLORIR","")</f>
        <v/>
      </c>
      <c r="P12" s="281" t="str">
        <f t="shared" ref="P12" si="28">IF(P11&lt;&gt;0,"COLORIR","")</f>
        <v/>
      </c>
    </row>
    <row r="13" spans="1:16" ht="12.75">
      <c r="A13" s="151" t="str">
        <f t="shared" si="11"/>
        <v>M</v>
      </c>
      <c r="B13" s="322">
        <v>3</v>
      </c>
      <c r="C13" s="259" t="str">
        <f>VLOOKUP(B13,PLANILHA!B:J,2)</f>
        <v>ESTRUTURA - PISCINA</v>
      </c>
      <c r="D13" s="323">
        <f>PLANILHA!J29</f>
        <v>159935.6197134</v>
      </c>
      <c r="E13" s="194"/>
      <c r="F13" s="142">
        <f>TRUNC($D13*E13,2)</f>
        <v>0</v>
      </c>
      <c r="G13" s="194">
        <v>0.5</v>
      </c>
      <c r="H13" s="142">
        <f t="shared" si="13"/>
        <v>79967.8</v>
      </c>
      <c r="I13" s="194">
        <v>0.5</v>
      </c>
      <c r="J13" s="142">
        <f t="shared" si="14"/>
        <v>79967.8</v>
      </c>
      <c r="K13" s="194"/>
      <c r="L13" s="142">
        <f t="shared" si="15"/>
        <v>0</v>
      </c>
      <c r="M13" s="194"/>
      <c r="N13" s="142">
        <f t="shared" si="16"/>
        <v>0</v>
      </c>
      <c r="O13" s="194"/>
      <c r="P13" s="142">
        <f t="shared" si="17"/>
        <v>0</v>
      </c>
    </row>
    <row r="14" spans="1:16" ht="3" customHeight="1">
      <c r="A14" s="151"/>
      <c r="B14" s="324"/>
      <c r="C14" s="325"/>
      <c r="D14" s="326"/>
      <c r="E14" s="279" t="str">
        <f>IF(E13&lt;&gt;0,"COLORIR","")</f>
        <v/>
      </c>
      <c r="F14" s="280" t="str">
        <f t="shared" ref="F14" si="29">IF(F13&lt;&gt;0,"COLORIR","")</f>
        <v/>
      </c>
      <c r="G14" s="280" t="str">
        <f t="shared" ref="G14" si="30">IF(G13&lt;&gt;0,"COLORIR","")</f>
        <v>COLORIR</v>
      </c>
      <c r="H14" s="280" t="str">
        <f t="shared" ref="H14" si="31">IF(H13&lt;&gt;0,"COLORIR","")</f>
        <v>COLORIR</v>
      </c>
      <c r="I14" s="280" t="str">
        <f t="shared" ref="I14" si="32">IF(I13&lt;&gt;0,"COLORIR","")</f>
        <v>COLORIR</v>
      </c>
      <c r="J14" s="280" t="str">
        <f t="shared" ref="J14" si="33">IF(J13&lt;&gt;0,"COLORIR","")</f>
        <v>COLORIR</v>
      </c>
      <c r="K14" s="280" t="str">
        <f t="shared" ref="K14" si="34">IF(K13&lt;&gt;0,"COLORIR","")</f>
        <v/>
      </c>
      <c r="L14" s="280" t="str">
        <f t="shared" ref="L14" si="35">IF(L13&lt;&gt;0,"COLORIR","")</f>
        <v/>
      </c>
      <c r="M14" s="280" t="str">
        <f t="shared" ref="M14" si="36">IF(M13&lt;&gt;0,"COLORIR","")</f>
        <v/>
      </c>
      <c r="N14" s="280" t="str">
        <f t="shared" ref="N14" si="37">IF(N13&lt;&gt;0,"COLORIR","")</f>
        <v/>
      </c>
      <c r="O14" s="280" t="str">
        <f t="shared" ref="O14" si="38">IF(O13&lt;&gt;0,"COLORIR","")</f>
        <v/>
      </c>
      <c r="P14" s="281" t="str">
        <f t="shared" ref="P14" si="39">IF(P13&lt;&gt;0,"COLORIR","")</f>
        <v/>
      </c>
    </row>
    <row r="15" spans="1:16" ht="12.75">
      <c r="A15" s="151" t="str">
        <f t="shared" si="11"/>
        <v>M</v>
      </c>
      <c r="B15" s="322">
        <v>4</v>
      </c>
      <c r="C15" s="259" t="str">
        <f>VLOOKUP(B15,PLANILHA!B:J,2)</f>
        <v>REVESTIMENTO - PISCINA</v>
      </c>
      <c r="D15" s="323">
        <f>PLANILHA!J36</f>
        <v>117637.60507943999</v>
      </c>
      <c r="E15" s="194"/>
      <c r="F15" s="142">
        <f t="shared" si="12"/>
        <v>0</v>
      </c>
      <c r="G15" s="194"/>
      <c r="H15" s="142">
        <f t="shared" si="13"/>
        <v>0</v>
      </c>
      <c r="I15" s="194">
        <v>0.2</v>
      </c>
      <c r="J15" s="142">
        <f t="shared" si="14"/>
        <v>23527.52</v>
      </c>
      <c r="K15" s="194">
        <v>0.8</v>
      </c>
      <c r="L15" s="142">
        <f t="shared" si="15"/>
        <v>94110.080000000002</v>
      </c>
      <c r="M15" s="194"/>
      <c r="N15" s="142">
        <f t="shared" si="16"/>
        <v>0</v>
      </c>
      <c r="O15" s="194"/>
      <c r="P15" s="142">
        <f t="shared" si="17"/>
        <v>0</v>
      </c>
    </row>
    <row r="16" spans="1:16" ht="3" customHeight="1">
      <c r="A16" s="151"/>
      <c r="B16" s="324"/>
      <c r="C16" s="325"/>
      <c r="D16" s="326"/>
      <c r="E16" s="279" t="str">
        <f>IF(E15&lt;&gt;0,"COLORIR","")</f>
        <v/>
      </c>
      <c r="F16" s="280" t="str">
        <f t="shared" ref="F16" si="40">IF(F15&lt;&gt;0,"COLORIR","")</f>
        <v/>
      </c>
      <c r="G16" s="280" t="str">
        <f t="shared" ref="G16" si="41">IF(G15&lt;&gt;0,"COLORIR","")</f>
        <v/>
      </c>
      <c r="H16" s="280" t="str">
        <f t="shared" ref="H16" si="42">IF(H15&lt;&gt;0,"COLORIR","")</f>
        <v/>
      </c>
      <c r="I16" s="280" t="str">
        <f t="shared" ref="I16" si="43">IF(I15&lt;&gt;0,"COLORIR","")</f>
        <v>COLORIR</v>
      </c>
      <c r="J16" s="280" t="str">
        <f t="shared" ref="J16" si="44">IF(J15&lt;&gt;0,"COLORIR","")</f>
        <v>COLORIR</v>
      </c>
      <c r="K16" s="280" t="str">
        <f t="shared" ref="K16" si="45">IF(K15&lt;&gt;0,"COLORIR","")</f>
        <v>COLORIR</v>
      </c>
      <c r="L16" s="280" t="str">
        <f t="shared" ref="L16" si="46">IF(L15&lt;&gt;0,"COLORIR","")</f>
        <v>COLORIR</v>
      </c>
      <c r="M16" s="280" t="str">
        <f t="shared" ref="M16" si="47">IF(M15&lt;&gt;0,"COLORIR","")</f>
        <v/>
      </c>
      <c r="N16" s="280" t="str">
        <f t="shared" ref="N16" si="48">IF(N15&lt;&gt;0,"COLORIR","")</f>
        <v/>
      </c>
      <c r="O16" s="280" t="str">
        <f t="shared" ref="O16" si="49">IF(O15&lt;&gt;0,"COLORIR","")</f>
        <v/>
      </c>
      <c r="P16" s="281" t="str">
        <f t="shared" ref="P16" si="50">IF(P15&lt;&gt;0,"COLORIR","")</f>
        <v/>
      </c>
    </row>
    <row r="17" spans="1:16" ht="12.75">
      <c r="A17" s="151" t="str">
        <f t="shared" si="11"/>
        <v>M</v>
      </c>
      <c r="B17" s="322">
        <v>5</v>
      </c>
      <c r="C17" s="259" t="str">
        <f>VLOOKUP(B17,PLANILHA!B:J,2)</f>
        <v>PISO EXTERNO - PISCINA</v>
      </c>
      <c r="D17" s="323">
        <f>PLANILHA!J43</f>
        <v>121767.87031812</v>
      </c>
      <c r="E17" s="194"/>
      <c r="F17" s="142">
        <f t="shared" si="12"/>
        <v>0</v>
      </c>
      <c r="G17" s="194"/>
      <c r="H17" s="142">
        <f t="shared" si="13"/>
        <v>0</v>
      </c>
      <c r="I17" s="194">
        <v>0.2</v>
      </c>
      <c r="J17" s="142">
        <f t="shared" si="14"/>
        <v>24353.57</v>
      </c>
      <c r="K17" s="194">
        <v>0.8</v>
      </c>
      <c r="L17" s="142">
        <f t="shared" si="15"/>
        <v>97414.29</v>
      </c>
      <c r="M17" s="194"/>
      <c r="N17" s="142">
        <f t="shared" si="16"/>
        <v>0</v>
      </c>
      <c r="O17" s="194"/>
      <c r="P17" s="142">
        <f t="shared" si="17"/>
        <v>0</v>
      </c>
    </row>
    <row r="18" spans="1:16" ht="3" customHeight="1">
      <c r="A18" s="151"/>
      <c r="B18" s="324"/>
      <c r="C18" s="325"/>
      <c r="D18" s="326"/>
      <c r="E18" s="279" t="str">
        <f>IF(E17&lt;&gt;0,"COLORIR","")</f>
        <v/>
      </c>
      <c r="F18" s="280" t="str">
        <f t="shared" ref="F18" si="51">IF(F17&lt;&gt;0,"COLORIR","")</f>
        <v/>
      </c>
      <c r="G18" s="280" t="str">
        <f t="shared" ref="G18" si="52">IF(G17&lt;&gt;0,"COLORIR","")</f>
        <v/>
      </c>
      <c r="H18" s="280" t="str">
        <f t="shared" ref="H18" si="53">IF(H17&lt;&gt;0,"COLORIR","")</f>
        <v/>
      </c>
      <c r="I18" s="280" t="str">
        <f t="shared" ref="I18" si="54">IF(I17&lt;&gt;0,"COLORIR","")</f>
        <v>COLORIR</v>
      </c>
      <c r="J18" s="280" t="str">
        <f t="shared" ref="J18" si="55">IF(J17&lt;&gt;0,"COLORIR","")</f>
        <v>COLORIR</v>
      </c>
      <c r="K18" s="280" t="str">
        <f t="shared" ref="K18" si="56">IF(K17&lt;&gt;0,"COLORIR","")</f>
        <v>COLORIR</v>
      </c>
      <c r="L18" s="280" t="str">
        <f t="shared" ref="L18" si="57">IF(L17&lt;&gt;0,"COLORIR","")</f>
        <v>COLORIR</v>
      </c>
      <c r="M18" s="280" t="str">
        <f t="shared" ref="M18" si="58">IF(M17&lt;&gt;0,"COLORIR","")</f>
        <v/>
      </c>
      <c r="N18" s="280" t="str">
        <f t="shared" ref="N18" si="59">IF(N17&lt;&gt;0,"COLORIR","")</f>
        <v/>
      </c>
      <c r="O18" s="280" t="str">
        <f t="shared" ref="O18" si="60">IF(O17&lt;&gt;0,"COLORIR","")</f>
        <v/>
      </c>
      <c r="P18" s="281" t="str">
        <f t="shared" ref="P18" si="61">IF(P17&lt;&gt;0,"COLORIR","")</f>
        <v/>
      </c>
    </row>
    <row r="19" spans="1:16" ht="12.75">
      <c r="A19" s="151" t="str">
        <f t="shared" si="11"/>
        <v>M</v>
      </c>
      <c r="B19" s="322">
        <v>6</v>
      </c>
      <c r="C19" s="259" t="str">
        <f>VLOOKUP(B19,PLANILHA!B:J,2)</f>
        <v>ESTACAS - SAUNA/BANHEIROS</v>
      </c>
      <c r="D19" s="323">
        <f>PLANILHA!J49</f>
        <v>13846.803096</v>
      </c>
      <c r="E19" s="194"/>
      <c r="F19" s="142">
        <f t="shared" si="12"/>
        <v>0</v>
      </c>
      <c r="G19" s="194">
        <v>1</v>
      </c>
      <c r="H19" s="142">
        <f t="shared" si="13"/>
        <v>13846.8</v>
      </c>
      <c r="I19" s="194"/>
      <c r="J19" s="142">
        <f t="shared" si="14"/>
        <v>0</v>
      </c>
      <c r="K19" s="194"/>
      <c r="L19" s="142">
        <f t="shared" si="15"/>
        <v>0</v>
      </c>
      <c r="M19" s="194"/>
      <c r="N19" s="142">
        <f t="shared" si="16"/>
        <v>0</v>
      </c>
      <c r="O19" s="194"/>
      <c r="P19" s="142">
        <f t="shared" si="17"/>
        <v>0</v>
      </c>
    </row>
    <row r="20" spans="1:16" ht="3" customHeight="1">
      <c r="A20" s="151"/>
      <c r="B20" s="324"/>
      <c r="C20" s="325"/>
      <c r="D20" s="326"/>
      <c r="E20" s="279" t="str">
        <f>IF(E19&lt;&gt;0,"COLORIR","")</f>
        <v/>
      </c>
      <c r="F20" s="280" t="str">
        <f t="shared" ref="F20" si="62">IF(F19&lt;&gt;0,"COLORIR","")</f>
        <v/>
      </c>
      <c r="G20" s="280" t="str">
        <f t="shared" ref="G20" si="63">IF(G19&lt;&gt;0,"COLORIR","")</f>
        <v>COLORIR</v>
      </c>
      <c r="H20" s="280" t="str">
        <f t="shared" ref="H20" si="64">IF(H19&lt;&gt;0,"COLORIR","")</f>
        <v>COLORIR</v>
      </c>
      <c r="I20" s="280" t="str">
        <f t="shared" ref="I20" si="65">IF(I19&lt;&gt;0,"COLORIR","")</f>
        <v/>
      </c>
      <c r="J20" s="280" t="str">
        <f t="shared" ref="J20" si="66">IF(J19&lt;&gt;0,"COLORIR","")</f>
        <v/>
      </c>
      <c r="K20" s="280" t="str">
        <f t="shared" ref="K20" si="67">IF(K19&lt;&gt;0,"COLORIR","")</f>
        <v/>
      </c>
      <c r="L20" s="280" t="str">
        <f t="shared" ref="L20" si="68">IF(L19&lt;&gt;0,"COLORIR","")</f>
        <v/>
      </c>
      <c r="M20" s="280" t="str">
        <f t="shared" ref="M20" si="69">IF(M19&lt;&gt;0,"COLORIR","")</f>
        <v/>
      </c>
      <c r="N20" s="280" t="str">
        <f t="shared" ref="N20" si="70">IF(N19&lt;&gt;0,"COLORIR","")</f>
        <v/>
      </c>
      <c r="O20" s="280" t="str">
        <f t="shared" ref="O20" si="71">IF(O19&lt;&gt;0,"COLORIR","")</f>
        <v/>
      </c>
      <c r="P20" s="281" t="str">
        <f t="shared" ref="P20" si="72">IF(P19&lt;&gt;0,"COLORIR","")</f>
        <v/>
      </c>
    </row>
    <row r="21" spans="1:16" ht="25.5">
      <c r="A21" s="151" t="str">
        <f t="shared" si="11"/>
        <v>M</v>
      </c>
      <c r="B21" s="322">
        <v>7</v>
      </c>
      <c r="C21" s="259" t="str">
        <f>VLOOKUP(B21,PLANILHA!B:J,2)</f>
        <v>FUNDAÇÃO - BLOCOS E VIGA BALDRAME - SAUNA/BANHEIROS</v>
      </c>
      <c r="D21" s="323">
        <f>PLANILHA!J60</f>
        <v>29676.856812299997</v>
      </c>
      <c r="E21" s="194"/>
      <c r="F21" s="142">
        <f t="shared" si="12"/>
        <v>0</v>
      </c>
      <c r="G21" s="194">
        <v>0.5</v>
      </c>
      <c r="H21" s="142">
        <f t="shared" si="13"/>
        <v>14838.42</v>
      </c>
      <c r="I21" s="194">
        <v>0.5</v>
      </c>
      <c r="J21" s="142">
        <f t="shared" si="14"/>
        <v>14838.42</v>
      </c>
      <c r="K21" s="194"/>
      <c r="L21" s="142">
        <f t="shared" si="15"/>
        <v>0</v>
      </c>
      <c r="M21" s="194"/>
      <c r="N21" s="142">
        <f t="shared" si="16"/>
        <v>0</v>
      </c>
      <c r="O21" s="194"/>
      <c r="P21" s="142">
        <f t="shared" si="17"/>
        <v>0</v>
      </c>
    </row>
    <row r="22" spans="1:16" ht="3" customHeight="1">
      <c r="A22" s="151"/>
      <c r="B22" s="324"/>
      <c r="C22" s="325"/>
      <c r="D22" s="326"/>
      <c r="E22" s="279" t="str">
        <f>IF(E21&lt;&gt;0,"COLORIR","")</f>
        <v/>
      </c>
      <c r="F22" s="280" t="str">
        <f t="shared" ref="F22" si="73">IF(F21&lt;&gt;0,"COLORIR","")</f>
        <v/>
      </c>
      <c r="G22" s="280" t="str">
        <f t="shared" ref="G22" si="74">IF(G21&lt;&gt;0,"COLORIR","")</f>
        <v>COLORIR</v>
      </c>
      <c r="H22" s="280" t="str">
        <f t="shared" ref="H22" si="75">IF(H21&lt;&gt;0,"COLORIR","")</f>
        <v>COLORIR</v>
      </c>
      <c r="I22" s="280" t="str">
        <f t="shared" ref="I22" si="76">IF(I21&lt;&gt;0,"COLORIR","")</f>
        <v>COLORIR</v>
      </c>
      <c r="J22" s="280" t="str">
        <f t="shared" ref="J22" si="77">IF(J21&lt;&gt;0,"COLORIR","")</f>
        <v>COLORIR</v>
      </c>
      <c r="K22" s="280" t="str">
        <f t="shared" ref="K22" si="78">IF(K21&lt;&gt;0,"COLORIR","")</f>
        <v/>
      </c>
      <c r="L22" s="280" t="str">
        <f t="shared" ref="L22" si="79">IF(L21&lt;&gt;0,"COLORIR","")</f>
        <v/>
      </c>
      <c r="M22" s="280" t="str">
        <f t="shared" ref="M22" si="80">IF(M21&lt;&gt;0,"COLORIR","")</f>
        <v/>
      </c>
      <c r="N22" s="280" t="str">
        <f t="shared" ref="N22" si="81">IF(N21&lt;&gt;0,"COLORIR","")</f>
        <v/>
      </c>
      <c r="O22" s="280" t="str">
        <f t="shared" ref="O22" si="82">IF(O21&lt;&gt;0,"COLORIR","")</f>
        <v/>
      </c>
      <c r="P22" s="281" t="str">
        <f t="shared" ref="P22" si="83">IF(P21&lt;&gt;0,"COLORIR","")</f>
        <v/>
      </c>
    </row>
    <row r="23" spans="1:16" ht="25.5">
      <c r="A23" s="151" t="str">
        <f t="shared" si="11"/>
        <v>M</v>
      </c>
      <c r="B23" s="322">
        <v>8</v>
      </c>
      <c r="C23" s="259" t="str">
        <f>VLOOKUP(B23,PLANILHA!B:J,2)</f>
        <v>SUPRAESTRUTURA - VIGAS, PILARES E LAJE- SAUNA/BANHEIROS</v>
      </c>
      <c r="D23" s="323">
        <f>PLANILHA!J70</f>
        <v>53075.088953340004</v>
      </c>
      <c r="E23" s="194"/>
      <c r="F23" s="142">
        <f t="shared" si="12"/>
        <v>0</v>
      </c>
      <c r="G23" s="194">
        <v>0.3</v>
      </c>
      <c r="H23" s="142">
        <f t="shared" si="13"/>
        <v>15922.52</v>
      </c>
      <c r="I23" s="194">
        <v>0.7</v>
      </c>
      <c r="J23" s="142">
        <f t="shared" si="13"/>
        <v>37152.559999999998</v>
      </c>
      <c r="K23" s="194"/>
      <c r="L23" s="142">
        <f t="shared" si="15"/>
        <v>0</v>
      </c>
      <c r="M23" s="194"/>
      <c r="N23" s="142">
        <f t="shared" si="16"/>
        <v>0</v>
      </c>
      <c r="O23" s="194"/>
      <c r="P23" s="142">
        <f t="shared" si="17"/>
        <v>0</v>
      </c>
    </row>
    <row r="24" spans="1:16" ht="3" customHeight="1">
      <c r="A24" s="151"/>
      <c r="B24" s="324"/>
      <c r="C24" s="325"/>
      <c r="D24" s="326"/>
      <c r="E24" s="279" t="str">
        <f>IF(E23&lt;&gt;0,"COLORIR","")</f>
        <v/>
      </c>
      <c r="F24" s="280" t="str">
        <f t="shared" ref="F24" si="84">IF(F23&lt;&gt;0,"COLORIR","")</f>
        <v/>
      </c>
      <c r="G24" s="280" t="str">
        <f t="shared" ref="G24" si="85">IF(G23&lt;&gt;0,"COLORIR","")</f>
        <v>COLORIR</v>
      </c>
      <c r="H24" s="280" t="str">
        <f t="shared" ref="H24" si="86">IF(H23&lt;&gt;0,"COLORIR","")</f>
        <v>COLORIR</v>
      </c>
      <c r="I24" s="280" t="str">
        <f t="shared" ref="I24" si="87">IF(I23&lt;&gt;0,"COLORIR","")</f>
        <v>COLORIR</v>
      </c>
      <c r="J24" s="280" t="str">
        <f t="shared" ref="J24" si="88">IF(J23&lt;&gt;0,"COLORIR","")</f>
        <v>COLORIR</v>
      </c>
      <c r="K24" s="280" t="str">
        <f t="shared" ref="K24" si="89">IF(K23&lt;&gt;0,"COLORIR","")</f>
        <v/>
      </c>
      <c r="L24" s="280" t="str">
        <f t="shared" ref="L24" si="90">IF(L23&lt;&gt;0,"COLORIR","")</f>
        <v/>
      </c>
      <c r="M24" s="280" t="str">
        <f t="shared" ref="M24" si="91">IF(M23&lt;&gt;0,"COLORIR","")</f>
        <v/>
      </c>
      <c r="N24" s="280" t="str">
        <f t="shared" ref="N24" si="92">IF(N23&lt;&gt;0,"COLORIR","")</f>
        <v/>
      </c>
      <c r="O24" s="280" t="str">
        <f t="shared" ref="O24" si="93">IF(O23&lt;&gt;0,"COLORIR","")</f>
        <v/>
      </c>
      <c r="P24" s="281" t="str">
        <f t="shared" ref="P24" si="94">IF(P23&lt;&gt;0,"COLORIR","")</f>
        <v/>
      </c>
    </row>
    <row r="25" spans="1:16" ht="12.75">
      <c r="A25" s="151" t="str">
        <f t="shared" si="11"/>
        <v>M</v>
      </c>
      <c r="B25" s="322">
        <v>9</v>
      </c>
      <c r="C25" s="259" t="str">
        <f>VLOOKUP(B25,PLANILHA!B:J,2)</f>
        <v>CONTRAPISO - SAUNA/BANHEIROS</v>
      </c>
      <c r="D25" s="323">
        <f>PLANILHA!J77</f>
        <v>25100.322973320002</v>
      </c>
      <c r="E25" s="194"/>
      <c r="F25" s="142">
        <f t="shared" si="12"/>
        <v>0</v>
      </c>
      <c r="G25" s="194"/>
      <c r="H25" s="142">
        <f t="shared" si="13"/>
        <v>0</v>
      </c>
      <c r="I25" s="194"/>
      <c r="J25" s="142">
        <f t="shared" si="14"/>
        <v>0</v>
      </c>
      <c r="K25" s="194">
        <v>0.5</v>
      </c>
      <c r="L25" s="142">
        <f t="shared" si="15"/>
        <v>12550.16</v>
      </c>
      <c r="M25" s="194">
        <v>0.5</v>
      </c>
      <c r="N25" s="142">
        <f t="shared" si="16"/>
        <v>12550.16</v>
      </c>
      <c r="O25" s="194"/>
      <c r="P25" s="142">
        <f t="shared" si="17"/>
        <v>0</v>
      </c>
    </row>
    <row r="26" spans="1:16" ht="3" customHeight="1">
      <c r="A26" s="151"/>
      <c r="B26" s="324"/>
      <c r="C26" s="325"/>
      <c r="D26" s="326"/>
      <c r="E26" s="279" t="str">
        <f>IF(E25&lt;&gt;0,"COLORIR","")</f>
        <v/>
      </c>
      <c r="F26" s="280" t="str">
        <f t="shared" ref="F26" si="95">IF(F25&lt;&gt;0,"COLORIR","")</f>
        <v/>
      </c>
      <c r="G26" s="280" t="str">
        <f t="shared" ref="G26" si="96">IF(G25&lt;&gt;0,"COLORIR","")</f>
        <v/>
      </c>
      <c r="H26" s="280" t="str">
        <f t="shared" ref="H26" si="97">IF(H25&lt;&gt;0,"COLORIR","")</f>
        <v/>
      </c>
      <c r="I26" s="280" t="str">
        <f t="shared" ref="I26" si="98">IF(I25&lt;&gt;0,"COLORIR","")</f>
        <v/>
      </c>
      <c r="J26" s="280" t="str">
        <f t="shared" ref="J26" si="99">IF(J25&lt;&gt;0,"COLORIR","")</f>
        <v/>
      </c>
      <c r="K26" s="280" t="str">
        <f t="shared" ref="K26" si="100">IF(K25&lt;&gt;0,"COLORIR","")</f>
        <v>COLORIR</v>
      </c>
      <c r="L26" s="280" t="str">
        <f t="shared" ref="L26" si="101">IF(L25&lt;&gt;0,"COLORIR","")</f>
        <v>COLORIR</v>
      </c>
      <c r="M26" s="280" t="str">
        <f t="shared" ref="M26" si="102">IF(M25&lt;&gt;0,"COLORIR","")</f>
        <v>COLORIR</v>
      </c>
      <c r="N26" s="280" t="str">
        <f t="shared" ref="N26" si="103">IF(N25&lt;&gt;0,"COLORIR","")</f>
        <v>COLORIR</v>
      </c>
      <c r="O26" s="280" t="str">
        <f t="shared" ref="O26" si="104">IF(O25&lt;&gt;0,"COLORIR","")</f>
        <v/>
      </c>
      <c r="P26" s="281" t="str">
        <f t="shared" ref="P26" si="105">IF(P25&lt;&gt;0,"COLORIR","")</f>
        <v/>
      </c>
    </row>
    <row r="27" spans="1:16" ht="25.5">
      <c r="A27" s="151" t="str">
        <f t="shared" si="11"/>
        <v>M</v>
      </c>
      <c r="B27" s="322">
        <v>10</v>
      </c>
      <c r="C27" s="259" t="str">
        <f>VLOOKUP(B27,PLANILHA!B:J,2)</f>
        <v>ALVENARIA DE VEDAÇÃO - SAUNA/BANHEIROS</v>
      </c>
      <c r="D27" s="323">
        <f>PLANILHA!J82</f>
        <v>28912.938651299999</v>
      </c>
      <c r="E27" s="194"/>
      <c r="F27" s="142">
        <f t="shared" si="12"/>
        <v>0</v>
      </c>
      <c r="G27" s="194"/>
      <c r="H27" s="142">
        <f t="shared" si="13"/>
        <v>0</v>
      </c>
      <c r="I27" s="194"/>
      <c r="J27" s="142">
        <f t="shared" si="14"/>
        <v>0</v>
      </c>
      <c r="K27" s="194">
        <v>0.5</v>
      </c>
      <c r="L27" s="142">
        <f t="shared" si="15"/>
        <v>14456.46</v>
      </c>
      <c r="M27" s="194">
        <v>0.5</v>
      </c>
      <c r="N27" s="142">
        <f t="shared" si="16"/>
        <v>14456.46</v>
      </c>
      <c r="O27" s="194"/>
      <c r="P27" s="142">
        <f t="shared" si="17"/>
        <v>0</v>
      </c>
    </row>
    <row r="28" spans="1:16" ht="3" customHeight="1">
      <c r="A28" s="151"/>
      <c r="B28" s="324"/>
      <c r="C28" s="325"/>
      <c r="D28" s="326"/>
      <c r="E28" s="279" t="str">
        <f>IF(E27&lt;&gt;0,"COLORIR","")</f>
        <v/>
      </c>
      <c r="F28" s="280" t="str">
        <f t="shared" ref="F28" si="106">IF(F27&lt;&gt;0,"COLORIR","")</f>
        <v/>
      </c>
      <c r="G28" s="280" t="str">
        <f t="shared" ref="G28" si="107">IF(G27&lt;&gt;0,"COLORIR","")</f>
        <v/>
      </c>
      <c r="H28" s="280" t="str">
        <f t="shared" ref="H28" si="108">IF(H27&lt;&gt;0,"COLORIR","")</f>
        <v/>
      </c>
      <c r="I28" s="280" t="str">
        <f t="shared" ref="I28" si="109">IF(I27&lt;&gt;0,"COLORIR","")</f>
        <v/>
      </c>
      <c r="J28" s="280" t="str">
        <f t="shared" ref="J28" si="110">IF(J27&lt;&gt;0,"COLORIR","")</f>
        <v/>
      </c>
      <c r="K28" s="280" t="str">
        <f t="shared" ref="K28" si="111">IF(K27&lt;&gt;0,"COLORIR","")</f>
        <v>COLORIR</v>
      </c>
      <c r="L28" s="280" t="str">
        <f t="shared" ref="L28" si="112">IF(L27&lt;&gt;0,"COLORIR","")</f>
        <v>COLORIR</v>
      </c>
      <c r="M28" s="280" t="str">
        <f t="shared" ref="M28" si="113">IF(M27&lt;&gt;0,"COLORIR","")</f>
        <v>COLORIR</v>
      </c>
      <c r="N28" s="280" t="str">
        <f t="shared" ref="N28" si="114">IF(N27&lt;&gt;0,"COLORIR","")</f>
        <v>COLORIR</v>
      </c>
      <c r="O28" s="280" t="str">
        <f t="shared" ref="O28" si="115">IF(O27&lt;&gt;0,"COLORIR","")</f>
        <v/>
      </c>
      <c r="P28" s="281" t="str">
        <f t="shared" ref="P28" si="116">IF(P27&lt;&gt;0,"COLORIR","")</f>
        <v/>
      </c>
    </row>
    <row r="29" spans="1:16" ht="25.5">
      <c r="A29" s="151" t="str">
        <f t="shared" si="11"/>
        <v>M</v>
      </c>
      <c r="B29" s="322">
        <v>11</v>
      </c>
      <c r="C29" s="259" t="str">
        <f>VLOOKUP(B29,PLANILHA!B:J,2)</f>
        <v>COBERTURA METÁLICA - SAUNA/BANHEIROS</v>
      </c>
      <c r="D29" s="323">
        <f>PLANILHA!J92</f>
        <v>30255.454048259999</v>
      </c>
      <c r="E29" s="194"/>
      <c r="F29" s="142">
        <f t="shared" si="12"/>
        <v>0</v>
      </c>
      <c r="G29" s="194"/>
      <c r="H29" s="142">
        <f t="shared" si="13"/>
        <v>0</v>
      </c>
      <c r="I29" s="194"/>
      <c r="J29" s="142">
        <f t="shared" si="14"/>
        <v>0</v>
      </c>
      <c r="K29" s="194"/>
      <c r="L29" s="142">
        <f t="shared" si="15"/>
        <v>0</v>
      </c>
      <c r="M29" s="194">
        <v>1</v>
      </c>
      <c r="N29" s="142">
        <f t="shared" si="16"/>
        <v>30255.45</v>
      </c>
      <c r="O29" s="194"/>
      <c r="P29" s="142">
        <f t="shared" si="17"/>
        <v>0</v>
      </c>
    </row>
    <row r="30" spans="1:16" ht="3" customHeight="1">
      <c r="A30" s="151"/>
      <c r="B30" s="324"/>
      <c r="C30" s="325"/>
      <c r="D30" s="326"/>
      <c r="E30" s="279" t="str">
        <f>IF(E29&lt;&gt;0,"COLORIR","")</f>
        <v/>
      </c>
      <c r="F30" s="280" t="str">
        <f t="shared" ref="F30" si="117">IF(F29&lt;&gt;0,"COLORIR","")</f>
        <v/>
      </c>
      <c r="G30" s="280" t="str">
        <f t="shared" ref="G30" si="118">IF(G29&lt;&gt;0,"COLORIR","")</f>
        <v/>
      </c>
      <c r="H30" s="280" t="str">
        <f t="shared" ref="H30" si="119">IF(H29&lt;&gt;0,"COLORIR","")</f>
        <v/>
      </c>
      <c r="I30" s="280" t="str">
        <f t="shared" ref="I30" si="120">IF(I29&lt;&gt;0,"COLORIR","")</f>
        <v/>
      </c>
      <c r="J30" s="280" t="str">
        <f t="shared" ref="J30" si="121">IF(J29&lt;&gt;0,"COLORIR","")</f>
        <v/>
      </c>
      <c r="K30" s="280" t="str">
        <f t="shared" ref="K30" si="122">IF(K29&lt;&gt;0,"COLORIR","")</f>
        <v/>
      </c>
      <c r="L30" s="280" t="str">
        <f t="shared" ref="L30" si="123">IF(L29&lt;&gt;0,"COLORIR","")</f>
        <v/>
      </c>
      <c r="M30" s="280" t="str">
        <f t="shared" ref="M30" si="124">IF(M29&lt;&gt;0,"COLORIR","")</f>
        <v>COLORIR</v>
      </c>
      <c r="N30" s="280" t="str">
        <f t="shared" ref="N30" si="125">IF(N29&lt;&gt;0,"COLORIR","")</f>
        <v>COLORIR</v>
      </c>
      <c r="O30" s="280" t="str">
        <f t="shared" ref="O30" si="126">IF(O29&lt;&gt;0,"COLORIR","")</f>
        <v/>
      </c>
      <c r="P30" s="281" t="str">
        <f t="shared" ref="P30" si="127">IF(P29&lt;&gt;0,"COLORIR","")</f>
        <v/>
      </c>
    </row>
    <row r="31" spans="1:16" ht="12.75">
      <c r="A31" s="151" t="str">
        <f t="shared" si="11"/>
        <v>M</v>
      </c>
      <c r="B31" s="322">
        <v>12</v>
      </c>
      <c r="C31" s="259" t="str">
        <f>VLOOKUP(B31,PLANILHA!B:J,2)</f>
        <v>REVESTIMENTO - SAUNA/BANHEIROS</v>
      </c>
      <c r="D31" s="323">
        <f>PLANILHA!J99</f>
        <v>90639.607356060005</v>
      </c>
      <c r="E31" s="194"/>
      <c r="F31" s="142">
        <f t="shared" si="12"/>
        <v>0</v>
      </c>
      <c r="G31" s="194"/>
      <c r="H31" s="142">
        <f t="shared" si="13"/>
        <v>0</v>
      </c>
      <c r="I31" s="194"/>
      <c r="J31" s="142">
        <f t="shared" si="14"/>
        <v>0</v>
      </c>
      <c r="K31" s="194"/>
      <c r="L31" s="142">
        <f t="shared" si="15"/>
        <v>0</v>
      </c>
      <c r="M31" s="194">
        <v>0.3</v>
      </c>
      <c r="N31" s="142">
        <f t="shared" si="16"/>
        <v>27191.88</v>
      </c>
      <c r="O31" s="194">
        <v>0.7</v>
      </c>
      <c r="P31" s="142">
        <f t="shared" si="17"/>
        <v>63447.72</v>
      </c>
    </row>
    <row r="32" spans="1:16" ht="3" customHeight="1">
      <c r="A32" s="151"/>
      <c r="B32" s="324"/>
      <c r="C32" s="325"/>
      <c r="D32" s="326"/>
      <c r="E32" s="279" t="str">
        <f>IF(E31&lt;&gt;0,"COLORIR","")</f>
        <v/>
      </c>
      <c r="F32" s="280" t="str">
        <f t="shared" ref="F32" si="128">IF(F31&lt;&gt;0,"COLORIR","")</f>
        <v/>
      </c>
      <c r="G32" s="280" t="str">
        <f t="shared" ref="G32" si="129">IF(G31&lt;&gt;0,"COLORIR","")</f>
        <v/>
      </c>
      <c r="H32" s="280" t="str">
        <f t="shared" ref="H32" si="130">IF(H31&lt;&gt;0,"COLORIR","")</f>
        <v/>
      </c>
      <c r="I32" s="280" t="str">
        <f t="shared" ref="I32" si="131">IF(I31&lt;&gt;0,"COLORIR","")</f>
        <v/>
      </c>
      <c r="J32" s="280" t="str">
        <f t="shared" ref="J32" si="132">IF(J31&lt;&gt;0,"COLORIR","")</f>
        <v/>
      </c>
      <c r="K32" s="280" t="str">
        <f t="shared" ref="K32" si="133">IF(K31&lt;&gt;0,"COLORIR","")</f>
        <v/>
      </c>
      <c r="L32" s="280" t="str">
        <f t="shared" ref="L32" si="134">IF(L31&lt;&gt;0,"COLORIR","")</f>
        <v/>
      </c>
      <c r="M32" s="280" t="str">
        <f t="shared" ref="M32" si="135">IF(M31&lt;&gt;0,"COLORIR","")</f>
        <v>COLORIR</v>
      </c>
      <c r="N32" s="280" t="str">
        <f t="shared" ref="N32" si="136">IF(N31&lt;&gt;0,"COLORIR","")</f>
        <v>COLORIR</v>
      </c>
      <c r="O32" s="280" t="str">
        <f t="shared" ref="O32" si="137">IF(O31&lt;&gt;0,"COLORIR","")</f>
        <v>COLORIR</v>
      </c>
      <c r="P32" s="281" t="str">
        <f t="shared" ref="P32" si="138">IF(P31&lt;&gt;0,"COLORIR","")</f>
        <v>COLORIR</v>
      </c>
    </row>
    <row r="33" spans="1:16" ht="12.75">
      <c r="A33" s="151" t="str">
        <f t="shared" si="11"/>
        <v>M</v>
      </c>
      <c r="B33" s="322">
        <v>13</v>
      </c>
      <c r="C33" s="259" t="str">
        <f>VLOOKUP(B33,PLANILHA!B:J,2)</f>
        <v>ESQUADRIAS - SAUNA/BANHEIROS</v>
      </c>
      <c r="D33" s="323">
        <f>PLANILHA!J105</f>
        <v>25087.623192179999</v>
      </c>
      <c r="E33" s="194"/>
      <c r="F33" s="142">
        <f t="shared" si="12"/>
        <v>0</v>
      </c>
      <c r="G33" s="194"/>
      <c r="H33" s="142">
        <f t="shared" si="13"/>
        <v>0</v>
      </c>
      <c r="I33" s="194"/>
      <c r="J33" s="142">
        <f t="shared" si="14"/>
        <v>0</v>
      </c>
      <c r="K33" s="194"/>
      <c r="L33" s="142">
        <f t="shared" si="15"/>
        <v>0</v>
      </c>
      <c r="M33" s="194">
        <v>0.3</v>
      </c>
      <c r="N33" s="142">
        <f t="shared" si="16"/>
        <v>7526.28</v>
      </c>
      <c r="O33" s="194">
        <v>0.7</v>
      </c>
      <c r="P33" s="142">
        <f t="shared" si="17"/>
        <v>17561.330000000002</v>
      </c>
    </row>
    <row r="34" spans="1:16" ht="3" customHeight="1">
      <c r="A34" s="151"/>
      <c r="B34" s="324"/>
      <c r="C34" s="325"/>
      <c r="D34" s="326"/>
      <c r="E34" s="279" t="str">
        <f>IF(E33&lt;&gt;0,"COLORIR","")</f>
        <v/>
      </c>
      <c r="F34" s="280" t="str">
        <f t="shared" ref="F34" si="139">IF(F33&lt;&gt;0,"COLORIR","")</f>
        <v/>
      </c>
      <c r="G34" s="280" t="str">
        <f t="shared" ref="G34" si="140">IF(G33&lt;&gt;0,"COLORIR","")</f>
        <v/>
      </c>
      <c r="H34" s="280" t="str">
        <f t="shared" ref="H34" si="141">IF(H33&lt;&gt;0,"COLORIR","")</f>
        <v/>
      </c>
      <c r="I34" s="280" t="str">
        <f t="shared" ref="I34" si="142">IF(I33&lt;&gt;0,"COLORIR","")</f>
        <v/>
      </c>
      <c r="J34" s="280" t="str">
        <f t="shared" ref="J34" si="143">IF(J33&lt;&gt;0,"COLORIR","")</f>
        <v/>
      </c>
      <c r="K34" s="280" t="str">
        <f t="shared" ref="K34" si="144">IF(K33&lt;&gt;0,"COLORIR","")</f>
        <v/>
      </c>
      <c r="L34" s="280" t="str">
        <f t="shared" ref="L34" si="145">IF(L33&lt;&gt;0,"COLORIR","")</f>
        <v/>
      </c>
      <c r="M34" s="280" t="str">
        <f t="shared" ref="M34" si="146">IF(M33&lt;&gt;0,"COLORIR","")</f>
        <v>COLORIR</v>
      </c>
      <c r="N34" s="280" t="str">
        <f t="shared" ref="N34" si="147">IF(N33&lt;&gt;0,"COLORIR","")</f>
        <v>COLORIR</v>
      </c>
      <c r="O34" s="280" t="str">
        <f t="shared" ref="O34" si="148">IF(O33&lt;&gt;0,"COLORIR","")</f>
        <v>COLORIR</v>
      </c>
      <c r="P34" s="281" t="str">
        <f t="shared" ref="P34" si="149">IF(P33&lt;&gt;0,"COLORIR","")</f>
        <v>COLORIR</v>
      </c>
    </row>
    <row r="35" spans="1:16" ht="12.75">
      <c r="A35" s="151" t="str">
        <f t="shared" si="11"/>
        <v>M</v>
      </c>
      <c r="B35" s="322">
        <v>14</v>
      </c>
      <c r="C35" s="259" t="str">
        <f>VLOOKUP(B35,PLANILHA!B:J,2)</f>
        <v>LOUÇAS E METAIS</v>
      </c>
      <c r="D35" s="323">
        <f>PLANILHA!J123</f>
        <v>10265.294279099999</v>
      </c>
      <c r="E35" s="194"/>
      <c r="F35" s="142">
        <f t="shared" si="12"/>
        <v>0</v>
      </c>
      <c r="G35" s="194"/>
      <c r="H35" s="142">
        <f t="shared" si="13"/>
        <v>0</v>
      </c>
      <c r="I35" s="194"/>
      <c r="J35" s="142">
        <f t="shared" si="14"/>
        <v>0</v>
      </c>
      <c r="K35" s="194"/>
      <c r="L35" s="142">
        <f t="shared" si="15"/>
        <v>0</v>
      </c>
      <c r="M35" s="194">
        <v>0.3</v>
      </c>
      <c r="N35" s="142">
        <f t="shared" si="16"/>
        <v>3079.58</v>
      </c>
      <c r="O35" s="194">
        <v>0.7</v>
      </c>
      <c r="P35" s="142">
        <f t="shared" si="17"/>
        <v>7185.7</v>
      </c>
    </row>
    <row r="36" spans="1:16" ht="3" customHeight="1">
      <c r="A36" s="151"/>
      <c r="B36" s="324"/>
      <c r="C36" s="325"/>
      <c r="D36" s="326"/>
      <c r="E36" s="279" t="str">
        <f>IF(E35&lt;&gt;0,"COLORIR","")</f>
        <v/>
      </c>
      <c r="F36" s="280" t="str">
        <f t="shared" ref="F36" si="150">IF(F35&lt;&gt;0,"COLORIR","")</f>
        <v/>
      </c>
      <c r="G36" s="280" t="str">
        <f t="shared" ref="G36" si="151">IF(G35&lt;&gt;0,"COLORIR","")</f>
        <v/>
      </c>
      <c r="H36" s="280" t="str">
        <f t="shared" ref="H36" si="152">IF(H35&lt;&gt;0,"COLORIR","")</f>
        <v/>
      </c>
      <c r="I36" s="280" t="str">
        <f t="shared" ref="I36" si="153">IF(I35&lt;&gt;0,"COLORIR","")</f>
        <v/>
      </c>
      <c r="J36" s="280" t="str">
        <f t="shared" ref="J36" si="154">IF(J35&lt;&gt;0,"COLORIR","")</f>
        <v/>
      </c>
      <c r="K36" s="280" t="str">
        <f t="shared" ref="K36" si="155">IF(K35&lt;&gt;0,"COLORIR","")</f>
        <v/>
      </c>
      <c r="L36" s="280" t="str">
        <f t="shared" ref="L36" si="156">IF(L35&lt;&gt;0,"COLORIR","")</f>
        <v/>
      </c>
      <c r="M36" s="280" t="str">
        <f t="shared" ref="M36" si="157">IF(M35&lt;&gt;0,"COLORIR","")</f>
        <v>COLORIR</v>
      </c>
      <c r="N36" s="280" t="str">
        <f t="shared" ref="N36" si="158">IF(N35&lt;&gt;0,"COLORIR","")</f>
        <v>COLORIR</v>
      </c>
      <c r="O36" s="280" t="str">
        <f t="shared" ref="O36" si="159">IF(O35&lt;&gt;0,"COLORIR","")</f>
        <v>COLORIR</v>
      </c>
      <c r="P36" s="281" t="str">
        <f t="shared" ref="P36" si="160">IF(P35&lt;&gt;0,"COLORIR","")</f>
        <v>COLORIR</v>
      </c>
    </row>
    <row r="37" spans="1:16" ht="12.75">
      <c r="A37" s="151" t="str">
        <f t="shared" si="11"/>
        <v>M</v>
      </c>
      <c r="B37" s="322">
        <v>15</v>
      </c>
      <c r="C37" s="259" t="str">
        <f>VLOOKUP(B37,PLANILHA!B:J,2)</f>
        <v>EQUIPAMENTOS</v>
      </c>
      <c r="D37" s="323">
        <f>PLANILHA!J127</f>
        <v>19781.628000000001</v>
      </c>
      <c r="E37" s="194"/>
      <c r="F37" s="142">
        <f t="shared" si="12"/>
        <v>0</v>
      </c>
      <c r="G37" s="194"/>
      <c r="H37" s="142">
        <f>TRUNC($D37*G37,2)</f>
        <v>0</v>
      </c>
      <c r="I37" s="194"/>
      <c r="J37" s="142">
        <f t="shared" si="14"/>
        <v>0</v>
      </c>
      <c r="K37" s="194"/>
      <c r="L37" s="142">
        <f t="shared" si="15"/>
        <v>0</v>
      </c>
      <c r="M37" s="194"/>
      <c r="N37" s="142">
        <f t="shared" si="16"/>
        <v>0</v>
      </c>
      <c r="O37" s="194">
        <v>1</v>
      </c>
      <c r="P37" s="142">
        <f t="shared" si="17"/>
        <v>19781.62</v>
      </c>
    </row>
    <row r="38" spans="1:16" ht="3" customHeight="1">
      <c r="A38" s="151"/>
      <c r="B38" s="324"/>
      <c r="C38" s="325"/>
      <c r="D38" s="326"/>
      <c r="E38" s="279" t="str">
        <f>IF(E37&lt;&gt;0,"COLORIR","")</f>
        <v/>
      </c>
      <c r="F38" s="280" t="str">
        <f t="shared" ref="F38" si="161">IF(F37&lt;&gt;0,"COLORIR","")</f>
        <v/>
      </c>
      <c r="G38" s="280" t="str">
        <f t="shared" ref="G38" si="162">IF(G37&lt;&gt;0,"COLORIR","")</f>
        <v/>
      </c>
      <c r="H38" s="280" t="str">
        <f t="shared" ref="H38" si="163">IF(H37&lt;&gt;0,"COLORIR","")</f>
        <v/>
      </c>
      <c r="I38" s="280" t="str">
        <f t="shared" ref="I38" si="164">IF(I37&lt;&gt;0,"COLORIR","")</f>
        <v/>
      </c>
      <c r="J38" s="280" t="str">
        <f t="shared" ref="J38" si="165">IF(J37&lt;&gt;0,"COLORIR","")</f>
        <v/>
      </c>
      <c r="K38" s="280" t="str">
        <f t="shared" ref="K38" si="166">IF(K37&lt;&gt;0,"COLORIR","")</f>
        <v/>
      </c>
      <c r="L38" s="280" t="str">
        <f t="shared" ref="L38" si="167">IF(L37&lt;&gt;0,"COLORIR","")</f>
        <v/>
      </c>
      <c r="M38" s="280" t="str">
        <f t="shared" ref="M38" si="168">IF(M37&lt;&gt;0,"COLORIR","")</f>
        <v/>
      </c>
      <c r="N38" s="280" t="str">
        <f t="shared" ref="N38" si="169">IF(N37&lt;&gt;0,"COLORIR","")</f>
        <v/>
      </c>
      <c r="O38" s="280" t="str">
        <f t="shared" ref="O38" si="170">IF(O37&lt;&gt;0,"COLORIR","")</f>
        <v>COLORIR</v>
      </c>
      <c r="P38" s="281" t="str">
        <f t="shared" ref="P38" si="171">IF(P37&lt;&gt;0,"COLORIR","")</f>
        <v>COLORIR</v>
      </c>
    </row>
    <row r="39" spans="1:16" ht="12.75">
      <c r="A39" s="151" t="str">
        <f t="shared" ref="A39:A45" si="172">IF(D39=0,"O","M")</f>
        <v>M</v>
      </c>
      <c r="B39" s="322">
        <v>16</v>
      </c>
      <c r="C39" s="259" t="str">
        <f>VLOOKUP(B39,PLANILHA!B:J,2)</f>
        <v>HIDRÁULICA - ÁGUA FRIA</v>
      </c>
      <c r="D39" s="323">
        <f>PLANILHA!J136</f>
        <v>15663.131508000002</v>
      </c>
      <c r="E39" s="194"/>
      <c r="F39" s="142">
        <f t="shared" ref="F39:F45" si="173">TRUNC($D39*E39,2)</f>
        <v>0</v>
      </c>
      <c r="G39" s="194">
        <v>0.25</v>
      </c>
      <c r="H39" s="142">
        <f t="shared" ref="H39:H45" si="174">TRUNC($D39*G39,2)</f>
        <v>3915.78</v>
      </c>
      <c r="I39" s="194">
        <v>0.25</v>
      </c>
      <c r="J39" s="142">
        <f t="shared" ref="J39:J45" si="175">TRUNC($D39*I39,2)</f>
        <v>3915.78</v>
      </c>
      <c r="K39" s="194">
        <v>0.25</v>
      </c>
      <c r="L39" s="142">
        <f t="shared" ref="L39:L45" si="176">TRUNC($D39*K39,2)</f>
        <v>3915.78</v>
      </c>
      <c r="M39" s="194">
        <v>0.25</v>
      </c>
      <c r="N39" s="142">
        <f t="shared" ref="N39:N45" si="177">TRUNC($D39*M39,2)</f>
        <v>3915.78</v>
      </c>
      <c r="O39" s="194"/>
      <c r="P39" s="142">
        <f t="shared" ref="P39:P45" si="178">TRUNC($D39*O39,2)</f>
        <v>0</v>
      </c>
    </row>
    <row r="40" spans="1:16" ht="3" customHeight="1">
      <c r="A40" s="151"/>
      <c r="B40" s="324"/>
      <c r="C40" s="325"/>
      <c r="D40" s="326"/>
      <c r="E40" s="279" t="str">
        <f>IF(E39&lt;&gt;0,"COLORIR","")</f>
        <v/>
      </c>
      <c r="F40" s="280" t="str">
        <f t="shared" ref="F40" si="179">IF(F39&lt;&gt;0,"COLORIR","")</f>
        <v/>
      </c>
      <c r="G40" s="280" t="str">
        <f t="shared" ref="G40" si="180">IF(G39&lt;&gt;0,"COLORIR","")</f>
        <v>COLORIR</v>
      </c>
      <c r="H40" s="280" t="str">
        <f t="shared" ref="H40" si="181">IF(H39&lt;&gt;0,"COLORIR","")</f>
        <v>COLORIR</v>
      </c>
      <c r="I40" s="280" t="str">
        <f t="shared" ref="I40" si="182">IF(I39&lt;&gt;0,"COLORIR","")</f>
        <v>COLORIR</v>
      </c>
      <c r="J40" s="280" t="str">
        <f t="shared" ref="J40" si="183">IF(J39&lt;&gt;0,"COLORIR","")</f>
        <v>COLORIR</v>
      </c>
      <c r="K40" s="280" t="str">
        <f t="shared" ref="K40" si="184">IF(K39&lt;&gt;0,"COLORIR","")</f>
        <v>COLORIR</v>
      </c>
      <c r="L40" s="280" t="str">
        <f t="shared" ref="L40" si="185">IF(L39&lt;&gt;0,"COLORIR","")</f>
        <v>COLORIR</v>
      </c>
      <c r="M40" s="280" t="str">
        <f t="shared" ref="M40" si="186">IF(M39&lt;&gt;0,"COLORIR","")</f>
        <v>COLORIR</v>
      </c>
      <c r="N40" s="280" t="str">
        <f t="shared" ref="N40" si="187">IF(N39&lt;&gt;0,"COLORIR","")</f>
        <v>COLORIR</v>
      </c>
      <c r="O40" s="280" t="str">
        <f t="shared" ref="O40" si="188">IF(O39&lt;&gt;0,"COLORIR","")</f>
        <v/>
      </c>
      <c r="P40" s="281" t="str">
        <f t="shared" ref="P40" si="189">IF(P39&lt;&gt;0,"COLORIR","")</f>
        <v/>
      </c>
    </row>
    <row r="41" spans="1:16" ht="12.75">
      <c r="A41" s="151" t="str">
        <f t="shared" si="172"/>
        <v>M</v>
      </c>
      <c r="B41" s="322">
        <v>17</v>
      </c>
      <c r="C41" s="259" t="str">
        <f>VLOOKUP(B41,PLANILHA!B:J,2)</f>
        <v>HIDRÁULICA - ESGOTO</v>
      </c>
      <c r="D41" s="323">
        <f>PLANILHA!J143</f>
        <v>7835.1350999999995</v>
      </c>
      <c r="E41" s="194"/>
      <c r="F41" s="142">
        <f t="shared" si="173"/>
        <v>0</v>
      </c>
      <c r="G41" s="194">
        <v>0.25</v>
      </c>
      <c r="H41" s="142">
        <f t="shared" si="174"/>
        <v>1958.78</v>
      </c>
      <c r="I41" s="194">
        <v>0.25</v>
      </c>
      <c r="J41" s="142">
        <f t="shared" si="175"/>
        <v>1958.78</v>
      </c>
      <c r="K41" s="194">
        <v>0.25</v>
      </c>
      <c r="L41" s="142">
        <f t="shared" si="176"/>
        <v>1958.78</v>
      </c>
      <c r="M41" s="194">
        <v>0.25</v>
      </c>
      <c r="N41" s="142">
        <f t="shared" si="177"/>
        <v>1958.78</v>
      </c>
      <c r="O41" s="194"/>
      <c r="P41" s="142">
        <f t="shared" si="178"/>
        <v>0</v>
      </c>
    </row>
    <row r="42" spans="1:16" ht="3" customHeight="1">
      <c r="A42" s="151"/>
      <c r="B42" s="324"/>
      <c r="C42" s="325"/>
      <c r="D42" s="326"/>
      <c r="E42" s="279" t="str">
        <f>IF(E41&lt;&gt;0,"COLORIR","")</f>
        <v/>
      </c>
      <c r="F42" s="280" t="str">
        <f t="shared" ref="F42" si="190">IF(F41&lt;&gt;0,"COLORIR","")</f>
        <v/>
      </c>
      <c r="G42" s="280" t="str">
        <f t="shared" ref="G42" si="191">IF(G41&lt;&gt;0,"COLORIR","")</f>
        <v>COLORIR</v>
      </c>
      <c r="H42" s="280" t="str">
        <f t="shared" ref="H42" si="192">IF(H41&lt;&gt;0,"COLORIR","")</f>
        <v>COLORIR</v>
      </c>
      <c r="I42" s="280" t="str">
        <f t="shared" ref="I42" si="193">IF(I41&lt;&gt;0,"COLORIR","")</f>
        <v>COLORIR</v>
      </c>
      <c r="J42" s="280" t="str">
        <f t="shared" ref="J42" si="194">IF(J41&lt;&gt;0,"COLORIR","")</f>
        <v>COLORIR</v>
      </c>
      <c r="K42" s="280" t="str">
        <f t="shared" ref="K42" si="195">IF(K41&lt;&gt;0,"COLORIR","")</f>
        <v>COLORIR</v>
      </c>
      <c r="L42" s="280" t="str">
        <f t="shared" ref="L42" si="196">IF(L41&lt;&gt;0,"COLORIR","")</f>
        <v>COLORIR</v>
      </c>
      <c r="M42" s="280" t="str">
        <f t="shared" ref="M42" si="197">IF(M41&lt;&gt;0,"COLORIR","")</f>
        <v>COLORIR</v>
      </c>
      <c r="N42" s="280" t="str">
        <f t="shared" ref="N42" si="198">IF(N41&lt;&gt;0,"COLORIR","")</f>
        <v>COLORIR</v>
      </c>
      <c r="O42" s="280" t="str">
        <f t="shared" ref="O42" si="199">IF(O41&lt;&gt;0,"COLORIR","")</f>
        <v/>
      </c>
      <c r="P42" s="281" t="str">
        <f t="shared" ref="P42" si="200">IF(P41&lt;&gt;0,"COLORIR","")</f>
        <v/>
      </c>
    </row>
    <row r="43" spans="1:16" ht="12.75">
      <c r="A43" s="151" t="str">
        <f t="shared" si="172"/>
        <v>M</v>
      </c>
      <c r="B43" s="322">
        <v>18</v>
      </c>
      <c r="C43" s="259" t="str">
        <f>VLOOKUP(B43,PLANILHA!B:J,2)</f>
        <v>INSTALAÇÕES ELÉTRICAS</v>
      </c>
      <c r="D43" s="323">
        <f>PLANILHA!J167</f>
        <v>22687.604436000001</v>
      </c>
      <c r="E43" s="194"/>
      <c r="F43" s="142">
        <f t="shared" si="173"/>
        <v>0</v>
      </c>
      <c r="G43" s="194">
        <v>0.25</v>
      </c>
      <c r="H43" s="142">
        <f t="shared" si="174"/>
        <v>5671.9</v>
      </c>
      <c r="I43" s="194">
        <v>0.25</v>
      </c>
      <c r="J43" s="142">
        <f t="shared" si="175"/>
        <v>5671.9</v>
      </c>
      <c r="K43" s="194">
        <v>0.25</v>
      </c>
      <c r="L43" s="142">
        <f t="shared" si="176"/>
        <v>5671.9</v>
      </c>
      <c r="M43" s="194">
        <v>0.25</v>
      </c>
      <c r="N43" s="142">
        <f t="shared" si="177"/>
        <v>5671.9</v>
      </c>
      <c r="O43" s="194"/>
      <c r="P43" s="142">
        <f t="shared" si="178"/>
        <v>0</v>
      </c>
    </row>
    <row r="44" spans="1:16" ht="3" customHeight="1">
      <c r="A44" s="151"/>
      <c r="B44" s="324"/>
      <c r="C44" s="325"/>
      <c r="D44" s="326"/>
      <c r="E44" s="279" t="str">
        <f>IF(E43&lt;&gt;0,"COLORIR","")</f>
        <v/>
      </c>
      <c r="F44" s="280" t="str">
        <f t="shared" ref="F44" si="201">IF(F43&lt;&gt;0,"COLORIR","")</f>
        <v/>
      </c>
      <c r="G44" s="280" t="str">
        <f t="shared" ref="G44" si="202">IF(G43&lt;&gt;0,"COLORIR","")</f>
        <v>COLORIR</v>
      </c>
      <c r="H44" s="280" t="str">
        <f t="shared" ref="H44" si="203">IF(H43&lt;&gt;0,"COLORIR","")</f>
        <v>COLORIR</v>
      </c>
      <c r="I44" s="280" t="str">
        <f t="shared" ref="I44" si="204">IF(I43&lt;&gt;0,"COLORIR","")</f>
        <v>COLORIR</v>
      </c>
      <c r="J44" s="280" t="str">
        <f t="shared" ref="J44" si="205">IF(J43&lt;&gt;0,"COLORIR","")</f>
        <v>COLORIR</v>
      </c>
      <c r="K44" s="280" t="str">
        <f t="shared" ref="K44" si="206">IF(K43&lt;&gt;0,"COLORIR","")</f>
        <v>COLORIR</v>
      </c>
      <c r="L44" s="280" t="str">
        <f t="shared" ref="L44" si="207">IF(L43&lt;&gt;0,"COLORIR","")</f>
        <v>COLORIR</v>
      </c>
      <c r="M44" s="280" t="str">
        <f t="shared" ref="M44" si="208">IF(M43&lt;&gt;0,"COLORIR","")</f>
        <v>COLORIR</v>
      </c>
      <c r="N44" s="280" t="str">
        <f t="shared" ref="N44" si="209">IF(N43&lt;&gt;0,"COLORIR","")</f>
        <v>COLORIR</v>
      </c>
      <c r="O44" s="280" t="str">
        <f t="shared" ref="O44" si="210">IF(O43&lt;&gt;0,"COLORIR","")</f>
        <v/>
      </c>
      <c r="P44" s="281" t="str">
        <f t="shared" ref="P44" si="211">IF(P43&lt;&gt;0,"COLORIR","")</f>
        <v/>
      </c>
    </row>
    <row r="45" spans="1:16" ht="12.75">
      <c r="A45" s="151" t="str">
        <f t="shared" si="172"/>
        <v>M</v>
      </c>
      <c r="B45" s="322">
        <v>19</v>
      </c>
      <c r="C45" s="259" t="str">
        <f>VLOOKUP(B45,PLANILHA!B:J,2)</f>
        <v>LIMPEZA FINAL DE OBRA</v>
      </c>
      <c r="D45" s="323">
        <f>PLANILHA!J171</f>
        <v>787.12756295999998</v>
      </c>
      <c r="E45" s="194"/>
      <c r="F45" s="142">
        <f t="shared" si="173"/>
        <v>0</v>
      </c>
      <c r="G45" s="194"/>
      <c r="H45" s="142">
        <f t="shared" si="174"/>
        <v>0</v>
      </c>
      <c r="I45" s="194"/>
      <c r="J45" s="142">
        <f t="shared" si="175"/>
        <v>0</v>
      </c>
      <c r="K45" s="194"/>
      <c r="L45" s="142">
        <f t="shared" si="176"/>
        <v>0</v>
      </c>
      <c r="M45" s="194"/>
      <c r="N45" s="142">
        <f t="shared" si="177"/>
        <v>0</v>
      </c>
      <c r="O45" s="194">
        <v>1</v>
      </c>
      <c r="P45" s="142">
        <f t="shared" si="178"/>
        <v>787.12</v>
      </c>
    </row>
    <row r="46" spans="1:16" ht="3" customHeight="1" thickBot="1">
      <c r="A46" s="151"/>
      <c r="B46" s="327"/>
      <c r="C46" s="328"/>
      <c r="D46" s="329"/>
      <c r="E46" s="330" t="str">
        <f>IF(E45&lt;&gt;0,"COLORIR","")</f>
        <v/>
      </c>
      <c r="F46" s="331" t="str">
        <f t="shared" ref="F46" si="212">IF(F45&lt;&gt;0,"COLORIR","")</f>
        <v/>
      </c>
      <c r="G46" s="331" t="str">
        <f t="shared" ref="G46" si="213">IF(G45&lt;&gt;0,"COLORIR","")</f>
        <v/>
      </c>
      <c r="H46" s="331" t="str">
        <f t="shared" ref="H46" si="214">IF(H45&lt;&gt;0,"COLORIR","")</f>
        <v/>
      </c>
      <c r="I46" s="331" t="str">
        <f t="shared" ref="I46" si="215">IF(I45&lt;&gt;0,"COLORIR","")</f>
        <v/>
      </c>
      <c r="J46" s="331" t="str">
        <f t="shared" ref="J46" si="216">IF(J45&lt;&gt;0,"COLORIR","")</f>
        <v/>
      </c>
      <c r="K46" s="331" t="str">
        <f t="shared" ref="K46" si="217">IF(K45&lt;&gt;0,"COLORIR","")</f>
        <v/>
      </c>
      <c r="L46" s="331" t="str">
        <f t="shared" ref="L46" si="218">IF(L45&lt;&gt;0,"COLORIR","")</f>
        <v/>
      </c>
      <c r="M46" s="331" t="str">
        <f t="shared" ref="M46" si="219">IF(M45&lt;&gt;0,"COLORIR","")</f>
        <v/>
      </c>
      <c r="N46" s="331" t="str">
        <f t="shared" ref="N46" si="220">IF(N45&lt;&gt;0,"COLORIR","")</f>
        <v/>
      </c>
      <c r="O46" s="331" t="str">
        <f t="shared" ref="O46" si="221">IF(O45&lt;&gt;0,"COLORIR","")</f>
        <v>COLORIR</v>
      </c>
      <c r="P46" s="332" t="str">
        <f t="shared" ref="P46" si="222">IF(P45&lt;&gt;0,"COLORIR","")</f>
        <v>COLORIR</v>
      </c>
    </row>
    <row r="47" spans="1:16" ht="13.5" thickBot="1">
      <c r="A47" s="151" t="str">
        <f>"M"</f>
        <v>M</v>
      </c>
      <c r="B47" s="333"/>
      <c r="C47" s="334" t="s">
        <v>81</v>
      </c>
      <c r="D47" s="335">
        <f>D45+D43+D41+D39+D37+D35+D33+D31+D29+D27+D25+D23+D21+D19+D17+D15+D13+D11+D9</f>
        <v>940913.62653365999</v>
      </c>
      <c r="E47" s="198"/>
      <c r="F47" s="198"/>
      <c r="G47" s="199"/>
      <c r="H47" s="200"/>
      <c r="I47" s="199"/>
      <c r="J47" s="200"/>
      <c r="K47" s="199"/>
      <c r="L47" s="200"/>
      <c r="M47" s="199"/>
      <c r="N47" s="200"/>
      <c r="O47" s="199"/>
      <c r="P47" s="200"/>
    </row>
    <row r="48" spans="1:16" ht="13.5" thickBot="1">
      <c r="A48" s="151" t="str">
        <f t="shared" ref="A48:A50" si="223">"M"</f>
        <v>M</v>
      </c>
      <c r="B48" s="143"/>
      <c r="C48" s="144"/>
      <c r="D48" s="145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</row>
    <row r="49" spans="1:16" ht="15" customHeight="1">
      <c r="A49" s="151" t="str">
        <f t="shared" si="223"/>
        <v>M</v>
      </c>
      <c r="B49" s="146"/>
      <c r="C49" s="427" t="s">
        <v>12</v>
      </c>
      <c r="D49" s="428"/>
      <c r="E49" s="147">
        <f>F49/$D$47</f>
        <v>0.17608445167317704</v>
      </c>
      <c r="F49" s="148">
        <f>SUM(F9:F46)</f>
        <v>165680.26</v>
      </c>
      <c r="G49" s="147">
        <f>H49/$D$47</f>
        <v>0.14515415246259497</v>
      </c>
      <c r="H49" s="148">
        <f>SUM(H9:H46)</f>
        <v>136577.52000000002</v>
      </c>
      <c r="I49" s="147">
        <f>J49/$D$47</f>
        <v>0.2038889060484205</v>
      </c>
      <c r="J49" s="148">
        <f>SUM(J9:J46)</f>
        <v>191841.85</v>
      </c>
      <c r="K49" s="147">
        <f>L49/$D$47</f>
        <v>0.24500970492826951</v>
      </c>
      <c r="L49" s="148">
        <f>SUM(L9:L46)</f>
        <v>230532.97</v>
      </c>
      <c r="M49" s="147">
        <f>N49/$D$47</f>
        <v>0.11378492879778694</v>
      </c>
      <c r="N49" s="148">
        <f>SUM(N9:N46)</f>
        <v>107061.79</v>
      </c>
      <c r="O49" s="147">
        <f>P49/$D$47</f>
        <v>0.11607761533050008</v>
      </c>
      <c r="P49" s="336">
        <f>SUM(P9:P46)</f>
        <v>109219.01</v>
      </c>
    </row>
    <row r="50" spans="1:16" s="3" customFormat="1" ht="15" customHeight="1" thickBot="1">
      <c r="A50" s="151" t="str">
        <f t="shared" si="223"/>
        <v>M</v>
      </c>
      <c r="B50" s="143"/>
      <c r="C50" s="417" t="s">
        <v>11</v>
      </c>
      <c r="D50" s="418"/>
      <c r="E50" s="149">
        <f>F50/$D$47</f>
        <v>0.17608445167317704</v>
      </c>
      <c r="F50" s="150">
        <f>F49</f>
        <v>165680.26</v>
      </c>
      <c r="G50" s="149">
        <f>H50/$D$47</f>
        <v>0.32123860413577199</v>
      </c>
      <c r="H50" s="150">
        <f>F50+H49</f>
        <v>302257.78000000003</v>
      </c>
      <c r="I50" s="149">
        <f>J50/$D$47</f>
        <v>0.52512751018419246</v>
      </c>
      <c r="J50" s="150">
        <f>H50+J49</f>
        <v>494099.63</v>
      </c>
      <c r="K50" s="149">
        <f>L50/$D$47</f>
        <v>0.77013721511246191</v>
      </c>
      <c r="L50" s="150">
        <f>J50+L49</f>
        <v>724632.6</v>
      </c>
      <c r="M50" s="149">
        <f>N50/$D$47</f>
        <v>0.88392214391024893</v>
      </c>
      <c r="N50" s="150">
        <f>L50+N49</f>
        <v>831694.39</v>
      </c>
      <c r="O50" s="149">
        <f>P50/$D$47</f>
        <v>0.99999989740433426</v>
      </c>
      <c r="P50" s="337">
        <f>N50+P49+0.13</f>
        <v>940913.53</v>
      </c>
    </row>
    <row r="51" spans="1:16" s="3" customFormat="1">
      <c r="C51" s="4"/>
      <c r="D51" s="2"/>
      <c r="E51" s="2"/>
    </row>
    <row r="52" spans="1:16">
      <c r="F52" s="3"/>
    </row>
    <row r="55" spans="1:16" ht="12.75">
      <c r="C55" s="312"/>
    </row>
  </sheetData>
  <autoFilter ref="A8:P8"/>
  <mergeCells count="14">
    <mergeCell ref="B7:B8"/>
    <mergeCell ref="C49:D49"/>
    <mergeCell ref="B3:P3"/>
    <mergeCell ref="B4:P4"/>
    <mergeCell ref="B5:P5"/>
    <mergeCell ref="I7:J7"/>
    <mergeCell ref="K7:L7"/>
    <mergeCell ref="M7:N7"/>
    <mergeCell ref="O7:P7"/>
    <mergeCell ref="C50:D50"/>
    <mergeCell ref="G7:H7"/>
    <mergeCell ref="E7:F7"/>
    <mergeCell ref="D7:D8"/>
    <mergeCell ref="C7:C8"/>
  </mergeCells>
  <conditionalFormatting sqref="E10:P10 E12:P12 E14:P14 E16:P16 E18:P18 E20:P20 E22:P22 E24:P24 E26:P26 E28:P28 E30:P30 E32:P32 E34:P34 E36:P36 E38:P38 E40:P40 E42:P42 E44:P44 E46:P46">
    <cfRule type="expression" dxfId="0" priority="12">
      <formula>E10="COLORIR"</formula>
    </cfRule>
  </conditionalFormatting>
  <printOptions horizontalCentered="1"/>
  <pageMargins left="0.51181102362204722" right="0.51181102362204722" top="1.1811023622047245" bottom="1.1811023622047245" header="0.31496062992125984" footer="0.31496062992125984"/>
  <pageSetup paperSize="8" scale="75" fitToHeight="0" orientation="landscape" r:id="rId1"/>
  <headerFooter>
    <oddFooter>&amp;C&amp;F&amp;RPágina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Plan5"/>
  <dimension ref="A1:AI67"/>
  <sheetViews>
    <sheetView showZeros="0" view="pageBreakPreview" zoomScaleNormal="85" zoomScaleSheetLayoutView="100" workbookViewId="0">
      <pane ySplit="5" topLeftCell="A6" activePane="bottomLeft" state="frozenSplit"/>
      <selection activeCell="B24" sqref="B24"/>
      <selection pane="bottomLeft" activeCell="E49" sqref="E49"/>
    </sheetView>
  </sheetViews>
  <sheetFormatPr defaultRowHeight="12.75"/>
  <cols>
    <col min="1" max="1" width="7.28515625" style="71" customWidth="1"/>
    <col min="2" max="2" width="8.5703125" style="60" bestFit="1" customWidth="1"/>
    <col min="3" max="3" width="15.28515625" style="85" bestFit="1" customWidth="1"/>
    <col min="4" max="4" width="54.42578125" style="86" customWidth="1"/>
    <col min="5" max="5" width="9.85546875" style="93" bestFit="1" customWidth="1"/>
    <col min="6" max="6" width="12.42578125" style="60" bestFit="1" customWidth="1"/>
    <col min="7" max="7" width="15.28515625" style="60" bestFit="1" customWidth="1"/>
    <col min="8" max="8" width="15.140625" style="60" bestFit="1" customWidth="1"/>
    <col min="9" max="9" width="12" style="60" bestFit="1" customWidth="1"/>
    <col min="10" max="10" width="11.85546875" style="60" bestFit="1" customWidth="1"/>
    <col min="11" max="11" width="17" style="60" bestFit="1" customWidth="1"/>
    <col min="12" max="12" width="7.28515625" style="60" hidden="1" customWidth="1"/>
    <col min="13" max="13" width="8.140625" style="61" hidden="1" customWidth="1"/>
    <col min="14" max="14" width="7.28515625" style="61" hidden="1" customWidth="1"/>
    <col min="15" max="15" width="15.85546875" style="60" customWidth="1"/>
    <col min="16" max="16384" width="9.140625" style="60"/>
  </cols>
  <sheetData>
    <row r="1" spans="1:27" s="44" customFormat="1" hidden="1">
      <c r="B1" s="119"/>
      <c r="C1" s="38" t="e">
        <f t="shared" ref="C1" ca="1" si="0">IF(D1="SINAPI",OFFSET(INDIRECT("'["&amp;CUSTOS_ANALITICO&amp;"]"&amp;PLAN_COMP_SINAPI&amp;"'!$a$1"),$N1-1,7),IF(D1="CPOS",UPPER(OFFSET(INDIRECT("'["&amp;PRECOS_SERV_CPOS&amp;"]"&amp;PLAN_SERV_CPOS&amp;"'!$A$1"),$N1-1,2)),IF(D1="COMPOSIÇÃO",OFFSET(INDIRECT("'Composições'!$a$1"),$N1-1,3),IF(D1="SINAPI-I",OFFSET(INDIRECT("'["&amp;PRECOS_INSUMOS&amp;"]"&amp;PLAN_INS_SINAPI&amp;"'!$a$1"),$N1-1,1),""))))</f>
        <v>#REF!</v>
      </c>
      <c r="D1" s="7" t="s">
        <v>26</v>
      </c>
      <c r="E1" s="7" t="s">
        <v>38</v>
      </c>
      <c r="F1" s="41" t="e">
        <f t="shared" ref="F1" ca="1" si="1">IF(D1="SINAPI",OFFSET(INDIRECT("'["&amp;CUSTOS_ANALITICO&amp;"]"&amp;PLAN_COMP_SINAPI&amp;"'!$a$1"),$N1-1,8),IF(D1="CPOS",UPPER(OFFSET(INDIRECT("'["&amp;PRECOS_SERV_CPOS&amp;"]"&amp;PLAN_SERV_CPOS&amp;"'!$A$1"),$N1-1,3)),IF(D1="COMPOSIÇÃO",OFFSET(INDIRECT("'Composições'!$a$1"),$N1-1,4),IF(D1="SINAPI-I",TRIM(OFFSET(INDIRECT("'["&amp;PRECOS_INSUMOS&amp;"]"&amp;PLAN_INS_SINAPI&amp;"'!$a$1"),$N1-1,2)),""))))</f>
        <v>#REF!</v>
      </c>
      <c r="G1" s="35"/>
      <c r="H1" s="8" t="e">
        <f t="shared" ref="H1" ca="1" si="2">VALUE(O1)</f>
        <v>#REF!</v>
      </c>
      <c r="I1" s="8" t="e">
        <f ca="1">IF(H1&lt;&gt;0,H1+ROUND(H1*BDI,2),0)</f>
        <v>#REF!</v>
      </c>
      <c r="J1" s="8" t="e">
        <f t="shared" ref="J1" ca="1" si="3">VALUE(P1)</f>
        <v>#REF!</v>
      </c>
      <c r="K1" s="9" t="e">
        <f ca="1">IF(J1&lt;&gt;0,J1+ROUND(J1*BDI,2),0)</f>
        <v>#REF!</v>
      </c>
      <c r="L1" s="9" t="e">
        <f t="shared" ref="L1" ca="1" si="4">SUM(I1,K1)</f>
        <v>#REF!</v>
      </c>
      <c r="M1" s="9" t="e">
        <f ca="1">ROUND((G1)*L1,2)</f>
        <v>#REF!</v>
      </c>
      <c r="N1" s="97" t="e">
        <f t="shared" ref="N1" ca="1" si="5">IF(D1="SINAPI",MATCH(E1,INDIRECT("'["&amp;CUSTOS_ANALITICO&amp;"]"&amp;PLAN_COMP_SINAPI&amp;"'!$G:$G"),0),IF(D1="SINAPI-I",MATCH(E1,INDIRECT("'["&amp;PRECOS_INSUMOS&amp;"]"&amp;PLAN_INS_SINAPI&amp;"'!$A:$A"),0),IF(D1="CPOS",MATCH(E1,INDIRECT("'["&amp;PRECOS_SERV_CPOS&amp;"]"&amp;PLAN_SERV_CPOS&amp;"'!$A:$A"),0),IF(D1="COMPOSIÇÃO",MATCH(RIGHT(E1,3),INDIRECT("'Composições'!$a:$a"),0),""))))</f>
        <v>#REF!</v>
      </c>
      <c r="O1" s="49" t="e">
        <f t="shared" ref="O1" ca="1" si="6">IF(D1="SINAPI",OFFSET(INDIRECT("'["&amp;CUSTOS_ANALITICO&amp;"]"&amp;PLAN_COMP_SINAPI&amp;"'!$A$1"),$N1-1,21)+OFFSET(INDIRECT("'["&amp;CUSTOS_ANALITICO&amp;"]"&amp;PLAN_COMP_SINAPI&amp;"'!$A$1"),$N1-1,23),IF(D1="SINAPI-I",OFFSET(INDIRECT("'["&amp;PRECOS_INSUMOS&amp;"]"&amp;PLAN_INS_SINAPI&amp;"'!$A$1"),$N1-1,4),IF(D1="CPOS",OFFSET(INDIRECT("'["&amp;PRECOS_SERV_CPOS&amp;"]"&amp;PLAN_SERV_CPOS&amp;"'!$A$1"),$N1-1,4),IF(D1="COMPOSIÇÃO",OFFSET(INDIRECT("'Composições'!$a$1"),$N1-1,8),0))))</f>
        <v>#REF!</v>
      </c>
      <c r="P1" s="49" t="e">
        <f t="shared" ref="P1" ca="1" si="7">IF(D1="SINAPI",OFFSET(INDIRECT("'["&amp;CUSTOS_ANALITICO&amp;"]"&amp;PLAN_COMP_SINAPI&amp;"'!$a$1"),$N1-1,19),IF(D1="CPOS",OFFSET(INDIRECT("'["&amp;PRECOS_SERV_CPOS&amp;"]"&amp;PLAN_SERV_CPOS&amp;"'!$A$1"),$N1-1,5),IF(D1="COMPOSIÇÃO",OFFSET(INDIRECT("'Composições'!$a$1"),$N1-1,9),0)))</f>
        <v>#REF!</v>
      </c>
      <c r="Q1" s="48" t="str">
        <f t="shared" ref="Q1" si="8">MID(B1,1,IFERROR(FIND(".",B1)-1,0))</f>
        <v/>
      </c>
    </row>
    <row r="2" spans="1:27" s="44" customFormat="1">
      <c r="B2" s="119"/>
      <c r="C2" s="207"/>
      <c r="D2" s="208"/>
      <c r="E2" s="208"/>
      <c r="F2" s="209"/>
      <c r="G2" s="210"/>
      <c r="H2" s="123"/>
      <c r="I2" s="123"/>
      <c r="J2" s="123"/>
      <c r="K2" s="211"/>
      <c r="L2" s="211"/>
      <c r="M2" s="211"/>
      <c r="N2" s="97"/>
      <c r="O2" s="49"/>
      <c r="P2" s="49"/>
      <c r="Q2" s="48"/>
    </row>
    <row r="3" spans="1:27" s="6" customFormat="1" ht="15.75"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95"/>
      <c r="O3" s="96"/>
      <c r="P3" s="96"/>
      <c r="Q3" s="48"/>
    </row>
    <row r="4" spans="1:27" s="6" customFormat="1" ht="17.25" customHeight="1"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95"/>
      <c r="O4" s="96"/>
      <c r="P4" s="96"/>
      <c r="Q4" s="48"/>
    </row>
    <row r="5" spans="1:27" ht="12.75" customHeight="1">
      <c r="A5" s="443" t="s">
        <v>209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</row>
    <row r="6" spans="1:27">
      <c r="A6" s="100" t="s">
        <v>2</v>
      </c>
      <c r="B6" s="62"/>
      <c r="C6" s="63"/>
      <c r="D6" s="57" t="s">
        <v>14</v>
      </c>
      <c r="E6" s="46" t="s">
        <v>15</v>
      </c>
      <c r="F6" s="58" t="s">
        <v>16</v>
      </c>
      <c r="G6" s="437" t="s">
        <v>128</v>
      </c>
      <c r="H6" s="438"/>
      <c r="I6" s="438"/>
      <c r="J6" s="439"/>
      <c r="K6" s="59" t="s">
        <v>18</v>
      </c>
      <c r="L6" s="68">
        <f t="shared" ref="L6:L34" ca="1" si="9">IF(B6="SINAPI",MATCH(C6,INDIRECT("'["&amp;CUSTOS_ANALITICO&amp;"]"&amp;PLAN_COMP_SINAPI&amp;"'!$G:$G"),0),IF(B6="SINAPI-I",MATCH(C6,INDIRECT("'["&amp;PRECOS_INSUMOS&amp;"]"&amp;PLAN_INS_SINAPI&amp;"'!$A:$A"),0),IF(B6="CPOS",MATCH(C6,INDIRECT("'["&amp;PRECOS_SERV_CPOS&amp;"]"&amp;PLAN_SERV_CPOS&amp;"'!$A:$A"),0),IF(B6="CPOS-I",MATCH(C6,INDIRECT("'["&amp;PRECOS_INS_CPOS&amp;"]"&amp;PLAN_INS_CPOS&amp;"'!$A:$A"),0),IF(B6="COTAÇÃO",MATCH(C6,INDIRECT("COTAÇÕES!$A:$A"),0),0)))))</f>
        <v>0</v>
      </c>
      <c r="M6" s="69">
        <f t="shared" ref="M6:M34" ca="1" si="10">IF(B6="SINAPI",OFFSET(INDIRECT("'["&amp;CUSTOS_ANALITICO&amp;"]"&amp;PLAN_COMP_SINAPI&amp;"'!$a$1"),$L6-1,21)+OFFSET(INDIRECT("'["&amp;CUSTOS_ANALITICO&amp;"]"&amp;PLAN_COMP_SINAPI&amp;"'!$A$1"),$L6-1,23),IF(B6="SINAPI-I",OFFSET(INDIRECT("'["&amp;PRECOS_INSUMOS&amp;"]"&amp;PLAN_INS_SINAPI&amp;"'!$a$1"),$L6-1,4),IF(B6="CPOS",OFFSET(INDIRECT("'["&amp;PRECOS_SERV_CPOS&amp;"]"&amp;PLAN_SERV_CPOS&amp;"'!$A$1"),$L6-1,4),IF(B6="CPOS-I",OFFSET(INDIRECT("'["&amp;PRECOS_INS_CPOS&amp;"]"&amp;PLAN_INS_CPOS&amp;"'!$A$1"),$L6-1,3),IF(B6="COTAÇÃO",OFFSET(INDIRECT("COTAÇÕES!$A$1"),$L6-1,6),0)))))</f>
        <v>0</v>
      </c>
      <c r="N6" s="69">
        <f t="shared" ref="N6:N34" ca="1" si="11">IF(B6="SINAPI",OFFSET(INDIRECT("'["&amp;CUSTOS_ANALITICO&amp;"]"&amp;PLAN_COMP_SINAPI&amp;"'!$a$1"),$L6-1,19),IF(B6="CPOS",OFFSET(INDIRECT("'["&amp;PRECOS_SERV_CPOS&amp;"]"&amp;PLAN_SERV_CPOS&amp;"'!$A$1"),$L6-1,5),0))</f>
        <v>0</v>
      </c>
    </row>
    <row r="7" spans="1:27">
      <c r="A7" s="204" t="s">
        <v>129</v>
      </c>
      <c r="B7" s="77"/>
      <c r="C7" s="78"/>
      <c r="D7" s="169" t="s">
        <v>266</v>
      </c>
      <c r="E7" s="170" t="s">
        <v>40</v>
      </c>
      <c r="F7" s="171">
        <v>44378</v>
      </c>
      <c r="G7" s="440"/>
      <c r="H7" s="441"/>
      <c r="I7" s="172">
        <f>SUM(I11)</f>
        <v>1625.16</v>
      </c>
      <c r="J7" s="172">
        <f>J9+J10</f>
        <v>12.75</v>
      </c>
      <c r="K7" s="64">
        <f>SUM(I7:J7)</f>
        <v>1637.91</v>
      </c>
      <c r="L7" s="68">
        <f t="shared" ca="1" si="9"/>
        <v>0</v>
      </c>
      <c r="M7" s="69">
        <f t="shared" ca="1" si="10"/>
        <v>0</v>
      </c>
      <c r="N7" s="69">
        <f t="shared" ca="1" si="11"/>
        <v>0</v>
      </c>
    </row>
    <row r="8" spans="1:27">
      <c r="A8" s="101"/>
      <c r="B8" s="79" t="s">
        <v>17</v>
      </c>
      <c r="C8" s="66" t="s">
        <v>2</v>
      </c>
      <c r="D8" s="67" t="s">
        <v>20</v>
      </c>
      <c r="E8" s="47" t="s">
        <v>15</v>
      </c>
      <c r="F8" s="65" t="s">
        <v>21</v>
      </c>
      <c r="G8" s="65" t="s">
        <v>28</v>
      </c>
      <c r="H8" s="65" t="s">
        <v>29</v>
      </c>
      <c r="I8" s="65" t="s">
        <v>42</v>
      </c>
      <c r="J8" s="65" t="s">
        <v>43</v>
      </c>
      <c r="K8" s="65" t="s">
        <v>22</v>
      </c>
      <c r="L8" s="68">
        <f t="shared" ca="1" si="9"/>
        <v>0</v>
      </c>
      <c r="M8" s="69">
        <f t="shared" ca="1" si="10"/>
        <v>0</v>
      </c>
      <c r="N8" s="69">
        <f t="shared" ca="1" si="11"/>
        <v>0</v>
      </c>
    </row>
    <row r="9" spans="1:27">
      <c r="A9" s="102"/>
      <c r="B9" s="177" t="s">
        <v>39</v>
      </c>
      <c r="C9" s="178" t="s">
        <v>336</v>
      </c>
      <c r="D9" s="176" t="s">
        <v>340</v>
      </c>
      <c r="E9" s="175" t="s">
        <v>127</v>
      </c>
      <c r="F9" s="174">
        <v>6.6000000000000003E-2</v>
      </c>
      <c r="G9" s="173">
        <v>0</v>
      </c>
      <c r="H9" s="173">
        <v>171.02279999999999</v>
      </c>
      <c r="I9" s="173">
        <f t="shared" ref="I9" si="12">TRUNC($F9*G9,2)</f>
        <v>0</v>
      </c>
      <c r="J9" s="173">
        <f t="shared" ref="J9" si="13">TRUNC($F9*H9,2)</f>
        <v>11.28</v>
      </c>
      <c r="K9" s="70">
        <f t="shared" ref="K9" si="14">I9+J9</f>
        <v>11.28</v>
      </c>
      <c r="L9" s="68" t="e">
        <f t="shared" ca="1" si="9"/>
        <v>#REF!</v>
      </c>
      <c r="M9" s="69" t="e">
        <f t="shared" ca="1" si="10"/>
        <v>#REF!</v>
      </c>
      <c r="N9" s="69" t="e">
        <f t="shared" ca="1" si="11"/>
        <v>#REF!</v>
      </c>
    </row>
    <row r="10" spans="1:27">
      <c r="A10" s="102"/>
      <c r="B10" s="177" t="s">
        <v>39</v>
      </c>
      <c r="C10" s="178" t="s">
        <v>337</v>
      </c>
      <c r="D10" s="176" t="s">
        <v>341</v>
      </c>
      <c r="E10" s="175" t="s">
        <v>127</v>
      </c>
      <c r="F10" s="174">
        <v>8.7999999999999995E-2</v>
      </c>
      <c r="G10" s="173">
        <v>0</v>
      </c>
      <c r="H10" s="173">
        <v>16.735199999999999</v>
      </c>
      <c r="I10" s="173">
        <f t="shared" ref="I10" si="15">TRUNC($F10*G10,2)</f>
        <v>0</v>
      </c>
      <c r="J10" s="173">
        <f t="shared" ref="J10" si="16">TRUNC($F10*H10,2)</f>
        <v>1.47</v>
      </c>
      <c r="K10" s="70">
        <f t="shared" ref="K10" si="17">I10+J10</f>
        <v>1.47</v>
      </c>
      <c r="L10" s="68" t="e">
        <f t="shared" ref="L10" ca="1" si="18">IF(B10="SINAPI",MATCH(C10,INDIRECT("'["&amp;CUSTOS_ANALITICO&amp;"]"&amp;PLAN_COMP_SINAPI&amp;"'!$G:$G"),0),IF(B10="SINAPI-I",MATCH(C10,INDIRECT("'["&amp;PRECOS_INSUMOS&amp;"]"&amp;PLAN_INS_SINAPI&amp;"'!$A:$A"),0),IF(B10="CPOS",MATCH(C10,INDIRECT("'["&amp;PRECOS_SERV_CPOS&amp;"]"&amp;PLAN_SERV_CPOS&amp;"'!$A:$A"),0),IF(B10="CPOS-I",MATCH(C10,INDIRECT("'["&amp;PRECOS_INS_CPOS&amp;"]"&amp;PLAN_INS_CPOS&amp;"'!$A:$A"),0),IF(B10="COTAÇÃO",MATCH(C10,INDIRECT("COTAÇÕES!$A:$A"),0),0)))))</f>
        <v>#REF!</v>
      </c>
      <c r="M10" s="69" t="e">
        <f t="shared" ref="M10" ca="1" si="19">IF(B10="SINAPI",OFFSET(INDIRECT("'["&amp;CUSTOS_ANALITICO&amp;"]"&amp;PLAN_COMP_SINAPI&amp;"'!$a$1"),$L10-1,21)+OFFSET(INDIRECT("'["&amp;CUSTOS_ANALITICO&amp;"]"&amp;PLAN_COMP_SINAPI&amp;"'!$A$1"),$L10-1,23),IF(B10="SINAPI-I",OFFSET(INDIRECT("'["&amp;PRECOS_INSUMOS&amp;"]"&amp;PLAN_INS_SINAPI&amp;"'!$a$1"),$L10-1,4),IF(B10="CPOS",OFFSET(INDIRECT("'["&amp;PRECOS_SERV_CPOS&amp;"]"&amp;PLAN_SERV_CPOS&amp;"'!$A$1"),$L10-1,4),IF(B10="CPOS-I",OFFSET(INDIRECT("'["&amp;PRECOS_INS_CPOS&amp;"]"&amp;PLAN_INS_CPOS&amp;"'!$A$1"),$L10-1,3),IF(B10="COTAÇÃO",OFFSET(INDIRECT("COTAÇÕES!$A$1"),$L10-1,6),0)))))</f>
        <v>#REF!</v>
      </c>
      <c r="N10" s="69" t="e">
        <f t="shared" ref="N10" ca="1" si="20">IF(B10="SINAPI",OFFSET(INDIRECT("'["&amp;CUSTOS_ANALITICO&amp;"]"&amp;PLAN_COMP_SINAPI&amp;"'!$a$1"),$L10-1,19),IF(B10="CPOS",OFFSET(INDIRECT("'["&amp;PRECOS_SERV_CPOS&amp;"]"&amp;PLAN_SERV_CPOS&amp;"'!$A$1"),$L10-1,5),0))</f>
        <v>#REF!</v>
      </c>
    </row>
    <row r="11" spans="1:27" ht="38.25">
      <c r="A11" s="102"/>
      <c r="B11" s="177" t="s">
        <v>126</v>
      </c>
      <c r="C11" s="178" t="s">
        <v>338</v>
      </c>
      <c r="D11" s="176" t="s">
        <v>339</v>
      </c>
      <c r="E11" s="175" t="s">
        <v>135</v>
      </c>
      <c r="F11" s="174">
        <v>1</v>
      </c>
      <c r="G11" s="173">
        <v>1625.16</v>
      </c>
      <c r="H11" s="173"/>
      <c r="I11" s="173">
        <f t="shared" ref="I11" si="21">TRUNC($F11*G11,2)</f>
        <v>1625.16</v>
      </c>
      <c r="J11" s="173">
        <f t="shared" ref="J11" si="22">TRUNC($F11*H11,2)</f>
        <v>0</v>
      </c>
      <c r="K11" s="70">
        <f t="shared" ref="K11" si="23">I11+J11</f>
        <v>1625.16</v>
      </c>
      <c r="L11" s="68">
        <f t="shared" ca="1" si="9"/>
        <v>0</v>
      </c>
      <c r="M11" s="69">
        <f t="shared" ca="1" si="10"/>
        <v>0</v>
      </c>
      <c r="N11" s="69">
        <f t="shared" ca="1" si="11"/>
        <v>0</v>
      </c>
    </row>
    <row r="12" spans="1:27" ht="13.5" customHeight="1">
      <c r="A12" s="431" t="s">
        <v>23</v>
      </c>
      <c r="B12" s="432"/>
      <c r="C12" s="433"/>
      <c r="D12" s="434" t="s">
        <v>356</v>
      </c>
      <c r="E12" s="435"/>
      <c r="F12" s="435"/>
      <c r="G12" s="435"/>
      <c r="H12" s="435"/>
      <c r="I12" s="435"/>
      <c r="J12" s="435"/>
      <c r="K12" s="436"/>
      <c r="L12" s="68">
        <f t="shared" ca="1" si="9"/>
        <v>0</v>
      </c>
      <c r="M12" s="69">
        <f t="shared" ca="1" si="10"/>
        <v>0</v>
      </c>
      <c r="N12" s="69">
        <f t="shared" ca="1" si="11"/>
        <v>0</v>
      </c>
    </row>
    <row r="13" spans="1:27">
      <c r="A13" s="99"/>
      <c r="B13" s="72"/>
      <c r="C13" s="73"/>
      <c r="D13" s="74"/>
      <c r="E13" s="50"/>
      <c r="F13" s="75"/>
      <c r="G13" s="76"/>
      <c r="H13" s="76"/>
      <c r="I13" s="76"/>
      <c r="J13" s="76"/>
      <c r="K13" s="76"/>
      <c r="L13" s="68">
        <f t="shared" ca="1" si="9"/>
        <v>0</v>
      </c>
      <c r="M13" s="69">
        <f t="shared" ca="1" si="10"/>
        <v>0</v>
      </c>
      <c r="N13" s="69">
        <f t="shared" ca="1" si="11"/>
        <v>0</v>
      </c>
    </row>
    <row r="14" spans="1:27">
      <c r="A14" s="103"/>
      <c r="B14" s="80"/>
      <c r="C14" s="81"/>
      <c r="D14" s="82"/>
      <c r="E14" s="51"/>
      <c r="F14" s="83"/>
      <c r="G14" s="84"/>
      <c r="H14" s="84"/>
      <c r="I14" s="84"/>
      <c r="J14" s="84"/>
      <c r="K14" s="76"/>
      <c r="L14" s="68">
        <f t="shared" ca="1" si="9"/>
        <v>0</v>
      </c>
      <c r="M14" s="69">
        <f t="shared" ca="1" si="10"/>
        <v>0</v>
      </c>
      <c r="N14" s="69">
        <f t="shared" ca="1" si="11"/>
        <v>0</v>
      </c>
    </row>
    <row r="15" spans="1:27">
      <c r="A15" s="100" t="s">
        <v>2</v>
      </c>
      <c r="B15" s="62"/>
      <c r="C15" s="63"/>
      <c r="D15" s="57" t="s">
        <v>14</v>
      </c>
      <c r="E15" s="46" t="s">
        <v>15</v>
      </c>
      <c r="F15" s="58" t="s">
        <v>16</v>
      </c>
      <c r="G15" s="437" t="s">
        <v>128</v>
      </c>
      <c r="H15" s="438"/>
      <c r="I15" s="438"/>
      <c r="J15" s="439"/>
      <c r="K15" s="203" t="s">
        <v>18</v>
      </c>
      <c r="L15" s="68">
        <f t="shared" ca="1" si="9"/>
        <v>0</v>
      </c>
      <c r="M15" s="69">
        <f t="shared" ca="1" si="10"/>
        <v>0</v>
      </c>
      <c r="N15" s="69">
        <f t="shared" ca="1" si="11"/>
        <v>0</v>
      </c>
    </row>
    <row r="16" spans="1:27" ht="25.5">
      <c r="A16" s="204" t="s">
        <v>130</v>
      </c>
      <c r="B16" s="202"/>
      <c r="C16" s="78"/>
      <c r="D16" s="169" t="str">
        <f>UPPER([2]CPUs!$D$14)</f>
        <v>PROJETO EXECUTIVO DE PREVENÇÃO E COMBATE A INCÊNDIO EM FORMATO A0</v>
      </c>
      <c r="E16" s="170" t="s">
        <v>40</v>
      </c>
      <c r="F16" s="171">
        <v>44378</v>
      </c>
      <c r="G16" s="440"/>
      <c r="H16" s="441"/>
      <c r="I16" s="172">
        <f>SUM(I22)</f>
        <v>0</v>
      </c>
      <c r="J16" s="172">
        <f>SUM(J18:J22)</f>
        <v>1164.71</v>
      </c>
      <c r="K16" s="64">
        <f>SUM(I16:J16)</f>
        <v>1164.71</v>
      </c>
      <c r="L16" s="68">
        <f t="shared" ca="1" si="9"/>
        <v>0</v>
      </c>
      <c r="M16" s="69">
        <f t="shared" ca="1" si="10"/>
        <v>0</v>
      </c>
      <c r="N16" s="69">
        <f t="shared" ca="1" si="11"/>
        <v>0</v>
      </c>
    </row>
    <row r="17" spans="1:14">
      <c r="A17" s="101"/>
      <c r="B17" s="79" t="s">
        <v>17</v>
      </c>
      <c r="C17" s="66" t="s">
        <v>2</v>
      </c>
      <c r="D17" s="67" t="s">
        <v>20</v>
      </c>
      <c r="E17" s="47" t="s">
        <v>15</v>
      </c>
      <c r="F17" s="65" t="s">
        <v>21</v>
      </c>
      <c r="G17" s="65" t="s">
        <v>28</v>
      </c>
      <c r="H17" s="65" t="s">
        <v>29</v>
      </c>
      <c r="I17" s="65" t="s">
        <v>42</v>
      </c>
      <c r="J17" s="65" t="s">
        <v>43</v>
      </c>
      <c r="K17" s="65" t="s">
        <v>22</v>
      </c>
      <c r="L17" s="68">
        <f t="shared" ca="1" si="9"/>
        <v>0</v>
      </c>
      <c r="M17" s="69">
        <f t="shared" ca="1" si="10"/>
        <v>0</v>
      </c>
      <c r="N17" s="69">
        <f t="shared" ca="1" si="11"/>
        <v>0</v>
      </c>
    </row>
    <row r="18" spans="1:14">
      <c r="A18" s="102"/>
      <c r="B18" s="177" t="s">
        <v>39</v>
      </c>
      <c r="C18" s="178" t="s">
        <v>346</v>
      </c>
      <c r="D18" s="176" t="s">
        <v>342</v>
      </c>
      <c r="E18" s="175" t="s">
        <v>127</v>
      </c>
      <c r="F18" s="174">
        <v>0.6</v>
      </c>
      <c r="G18" s="173">
        <v>0</v>
      </c>
      <c r="H18" s="173">
        <v>290.08440000000002</v>
      </c>
      <c r="I18" s="173">
        <f t="shared" ref="I18" si="24">TRUNC($F18*G18,2)</f>
        <v>0</v>
      </c>
      <c r="J18" s="173">
        <f t="shared" ref="J18" si="25">TRUNC($F18*H18,2)</f>
        <v>174.05</v>
      </c>
      <c r="K18" s="70">
        <f t="shared" ref="K18" si="26">I18+J18</f>
        <v>174.05</v>
      </c>
      <c r="L18" s="68" t="e">
        <f t="shared" ca="1" si="9"/>
        <v>#REF!</v>
      </c>
      <c r="M18" s="69" t="e">
        <f t="shared" ca="1" si="10"/>
        <v>#REF!</v>
      </c>
      <c r="N18" s="69" t="e">
        <f t="shared" ca="1" si="11"/>
        <v>#REF!</v>
      </c>
    </row>
    <row r="19" spans="1:14">
      <c r="A19" s="102"/>
      <c r="B19" s="177" t="s">
        <v>39</v>
      </c>
      <c r="C19" s="178" t="s">
        <v>347</v>
      </c>
      <c r="D19" s="176" t="s">
        <v>343</v>
      </c>
      <c r="E19" s="175" t="s">
        <v>127</v>
      </c>
      <c r="F19" s="174">
        <v>1.5</v>
      </c>
      <c r="G19" s="173">
        <v>0</v>
      </c>
      <c r="H19" s="173">
        <v>102.0072</v>
      </c>
      <c r="I19" s="173">
        <f t="shared" ref="I19" si="27">TRUNC($F19*G19,2)</f>
        <v>0</v>
      </c>
      <c r="J19" s="173">
        <f t="shared" ref="J19" si="28">TRUNC($F19*H19,2)</f>
        <v>153.01</v>
      </c>
      <c r="K19" s="70">
        <f t="shared" ref="K19" si="29">I19+J19</f>
        <v>153.01</v>
      </c>
      <c r="L19" s="68" t="e">
        <f t="shared" ref="L19" ca="1" si="30">IF(B19="SINAPI",MATCH(C19,INDIRECT("'["&amp;CUSTOS_ANALITICO&amp;"]"&amp;PLAN_COMP_SINAPI&amp;"'!$G:$G"),0),IF(B19="SINAPI-I",MATCH(C19,INDIRECT("'["&amp;PRECOS_INSUMOS&amp;"]"&amp;PLAN_INS_SINAPI&amp;"'!$A:$A"),0),IF(B19="CPOS",MATCH(C19,INDIRECT("'["&amp;PRECOS_SERV_CPOS&amp;"]"&amp;PLAN_SERV_CPOS&amp;"'!$A:$A"),0),IF(B19="CPOS-I",MATCH(C19,INDIRECT("'["&amp;PRECOS_INS_CPOS&amp;"]"&amp;PLAN_INS_CPOS&amp;"'!$A:$A"),0),IF(B19="COTAÇÃO",MATCH(C19,INDIRECT("COTAÇÕES!$A:$A"),0),0)))))</f>
        <v>#REF!</v>
      </c>
      <c r="M19" s="69" t="e">
        <f t="shared" ref="M19" ca="1" si="31">IF(B19="SINAPI",OFFSET(INDIRECT("'["&amp;CUSTOS_ANALITICO&amp;"]"&amp;PLAN_COMP_SINAPI&amp;"'!$a$1"),$L19-1,21)+OFFSET(INDIRECT("'["&amp;CUSTOS_ANALITICO&amp;"]"&amp;PLAN_COMP_SINAPI&amp;"'!$A$1"),$L19-1,23),IF(B19="SINAPI-I",OFFSET(INDIRECT("'["&amp;PRECOS_INSUMOS&amp;"]"&amp;PLAN_INS_SINAPI&amp;"'!$a$1"),$L19-1,4),IF(B19="CPOS",OFFSET(INDIRECT("'["&amp;PRECOS_SERV_CPOS&amp;"]"&amp;PLAN_SERV_CPOS&amp;"'!$A$1"),$L19-1,4),IF(B19="CPOS-I",OFFSET(INDIRECT("'["&amp;PRECOS_INS_CPOS&amp;"]"&amp;PLAN_INS_CPOS&amp;"'!$A$1"),$L19-1,3),IF(B19="COTAÇÃO",OFFSET(INDIRECT("COTAÇÕES!$A$1"),$L19-1,6),0)))))</f>
        <v>#REF!</v>
      </c>
      <c r="N19" s="69" t="e">
        <f t="shared" ref="N19" ca="1" si="32">IF(B19="SINAPI",OFFSET(INDIRECT("'["&amp;CUSTOS_ANALITICO&amp;"]"&amp;PLAN_COMP_SINAPI&amp;"'!$a$1"),$L19-1,19),IF(B19="CPOS",OFFSET(INDIRECT("'["&amp;PRECOS_SERV_CPOS&amp;"]"&amp;PLAN_SERV_CPOS&amp;"'!$A$1"),$L19-1,5),0))</f>
        <v>#REF!</v>
      </c>
    </row>
    <row r="20" spans="1:14">
      <c r="A20" s="102"/>
      <c r="B20" s="177" t="s">
        <v>39</v>
      </c>
      <c r="C20" s="178" t="s">
        <v>336</v>
      </c>
      <c r="D20" s="176" t="s">
        <v>340</v>
      </c>
      <c r="E20" s="175" t="s">
        <v>127</v>
      </c>
      <c r="F20" s="174">
        <v>1</v>
      </c>
      <c r="G20" s="173">
        <v>0</v>
      </c>
      <c r="H20" s="173">
        <v>171.02279999999999</v>
      </c>
      <c r="I20" s="173">
        <f t="shared" ref="I20" si="33">TRUNC($F20*G20,2)</f>
        <v>0</v>
      </c>
      <c r="J20" s="173">
        <f t="shared" ref="J20" si="34">TRUNC($F20*H20,2)</f>
        <v>171.02</v>
      </c>
      <c r="K20" s="70">
        <f t="shared" ref="K20" si="35">I20+J20</f>
        <v>171.02</v>
      </c>
      <c r="L20" s="68" t="e">
        <f t="shared" ca="1" si="9"/>
        <v>#REF!</v>
      </c>
      <c r="M20" s="69" t="e">
        <f t="shared" ca="1" si="10"/>
        <v>#REF!</v>
      </c>
      <c r="N20" s="69" t="e">
        <f t="shared" ca="1" si="11"/>
        <v>#REF!</v>
      </c>
    </row>
    <row r="21" spans="1:14">
      <c r="A21" s="102"/>
      <c r="B21" s="177" t="s">
        <v>39</v>
      </c>
      <c r="C21" s="178" t="s">
        <v>348</v>
      </c>
      <c r="D21" s="176" t="s">
        <v>344</v>
      </c>
      <c r="E21" s="175" t="s">
        <v>127</v>
      </c>
      <c r="F21" s="174">
        <v>4.0999999999999996</v>
      </c>
      <c r="G21" s="173">
        <v>0</v>
      </c>
      <c r="H21" s="173">
        <v>94.369200000000006</v>
      </c>
      <c r="I21" s="173">
        <f t="shared" ref="I21" si="36">TRUNC($F21*G21,2)</f>
        <v>0</v>
      </c>
      <c r="J21" s="173">
        <f t="shared" ref="J21" si="37">TRUNC($F21*H21,2)</f>
        <v>386.91</v>
      </c>
      <c r="K21" s="70">
        <f t="shared" ref="K21" si="38">I21+J21</f>
        <v>386.91</v>
      </c>
      <c r="L21" s="68" t="e">
        <f t="shared" ref="L21" ca="1" si="39">IF(B21="SINAPI",MATCH(C21,INDIRECT("'["&amp;CUSTOS_ANALITICO&amp;"]"&amp;PLAN_COMP_SINAPI&amp;"'!$G:$G"),0),IF(B21="SINAPI-I",MATCH(C21,INDIRECT("'["&amp;PRECOS_INSUMOS&amp;"]"&amp;PLAN_INS_SINAPI&amp;"'!$A:$A"),0),IF(B21="CPOS",MATCH(C21,INDIRECT("'["&amp;PRECOS_SERV_CPOS&amp;"]"&amp;PLAN_SERV_CPOS&amp;"'!$A:$A"),0),IF(B21="CPOS-I",MATCH(C21,INDIRECT("'["&amp;PRECOS_INS_CPOS&amp;"]"&amp;PLAN_INS_CPOS&amp;"'!$A:$A"),0),IF(B21="COTAÇÃO",MATCH(C21,INDIRECT("COTAÇÕES!$A:$A"),0),0)))))</f>
        <v>#REF!</v>
      </c>
      <c r="M21" s="69" t="e">
        <f t="shared" ref="M21" ca="1" si="40">IF(B21="SINAPI",OFFSET(INDIRECT("'["&amp;CUSTOS_ANALITICO&amp;"]"&amp;PLAN_COMP_SINAPI&amp;"'!$a$1"),$L21-1,21)+OFFSET(INDIRECT("'["&amp;CUSTOS_ANALITICO&amp;"]"&amp;PLAN_COMP_SINAPI&amp;"'!$A$1"),$L21-1,23),IF(B21="SINAPI-I",OFFSET(INDIRECT("'["&amp;PRECOS_INSUMOS&amp;"]"&amp;PLAN_INS_SINAPI&amp;"'!$a$1"),$L21-1,4),IF(B21="CPOS",OFFSET(INDIRECT("'["&amp;PRECOS_SERV_CPOS&amp;"]"&amp;PLAN_SERV_CPOS&amp;"'!$A$1"),$L21-1,4),IF(B21="CPOS-I",OFFSET(INDIRECT("'["&amp;PRECOS_INS_CPOS&amp;"]"&amp;PLAN_INS_CPOS&amp;"'!$A$1"),$L21-1,3),IF(B21="COTAÇÃO",OFFSET(INDIRECT("COTAÇÕES!$A$1"),$L21-1,6),0)))))</f>
        <v>#REF!</v>
      </c>
      <c r="N21" s="69" t="e">
        <f t="shared" ref="N21" ca="1" si="41">IF(B21="SINAPI",OFFSET(INDIRECT("'["&amp;CUSTOS_ANALITICO&amp;"]"&amp;PLAN_COMP_SINAPI&amp;"'!$a$1"),$L21-1,19),IF(B21="CPOS",OFFSET(INDIRECT("'["&amp;PRECOS_SERV_CPOS&amp;"]"&amp;PLAN_SERV_CPOS&amp;"'!$A$1"),$L21-1,5),0))</f>
        <v>#REF!</v>
      </c>
    </row>
    <row r="22" spans="1:14">
      <c r="A22" s="102"/>
      <c r="B22" s="177" t="s">
        <v>39</v>
      </c>
      <c r="C22" s="178" t="s">
        <v>349</v>
      </c>
      <c r="D22" s="176" t="s">
        <v>345</v>
      </c>
      <c r="E22" s="175" t="s">
        <v>127</v>
      </c>
      <c r="F22" s="174">
        <v>6.4</v>
      </c>
      <c r="G22" s="173">
        <v>0</v>
      </c>
      <c r="H22" s="173">
        <v>43.707599999999999</v>
      </c>
      <c r="I22" s="173">
        <f t="shared" ref="I22" si="42">TRUNC($F22*G22,2)</f>
        <v>0</v>
      </c>
      <c r="J22" s="173">
        <f t="shared" ref="J22" si="43">TRUNC($F22*H22,2)</f>
        <v>279.72000000000003</v>
      </c>
      <c r="K22" s="70">
        <f t="shared" ref="K22" si="44">I22+J22</f>
        <v>279.72000000000003</v>
      </c>
      <c r="L22" s="68" t="e">
        <f t="shared" ca="1" si="9"/>
        <v>#REF!</v>
      </c>
      <c r="M22" s="69" t="e">
        <f t="shared" ca="1" si="10"/>
        <v>#REF!</v>
      </c>
      <c r="N22" s="69" t="e">
        <f t="shared" ca="1" si="11"/>
        <v>#REF!</v>
      </c>
    </row>
    <row r="23" spans="1:14" ht="13.5" customHeight="1">
      <c r="A23" s="431" t="s">
        <v>23</v>
      </c>
      <c r="B23" s="432"/>
      <c r="C23" s="433"/>
      <c r="D23" s="434" t="s">
        <v>354</v>
      </c>
      <c r="E23" s="435"/>
      <c r="F23" s="435"/>
      <c r="G23" s="435"/>
      <c r="H23" s="435"/>
      <c r="I23" s="435"/>
      <c r="J23" s="435"/>
      <c r="K23" s="436"/>
      <c r="L23" s="68">
        <f t="shared" ca="1" si="9"/>
        <v>0</v>
      </c>
      <c r="M23" s="69">
        <f t="shared" ca="1" si="10"/>
        <v>0</v>
      </c>
      <c r="N23" s="69">
        <f t="shared" ca="1" si="11"/>
        <v>0</v>
      </c>
    </row>
    <row r="24" spans="1:14">
      <c r="A24" s="99"/>
      <c r="B24" s="72"/>
      <c r="C24" s="73"/>
      <c r="D24" s="74"/>
      <c r="E24" s="50"/>
      <c r="F24" s="75"/>
      <c r="G24" s="76"/>
      <c r="H24" s="76"/>
      <c r="I24" s="76"/>
      <c r="J24" s="76"/>
      <c r="K24" s="76"/>
      <c r="L24" s="68">
        <f t="shared" ca="1" si="9"/>
        <v>0</v>
      </c>
      <c r="M24" s="69">
        <f t="shared" ca="1" si="10"/>
        <v>0</v>
      </c>
      <c r="N24" s="69">
        <f t="shared" ca="1" si="11"/>
        <v>0</v>
      </c>
    </row>
    <row r="25" spans="1:14">
      <c r="A25" s="103"/>
      <c r="B25" s="80"/>
      <c r="C25" s="81"/>
      <c r="D25" s="82"/>
      <c r="E25" s="51"/>
      <c r="F25" s="83"/>
      <c r="G25" s="84"/>
      <c r="H25" s="84"/>
      <c r="I25" s="84"/>
      <c r="J25" s="84"/>
      <c r="K25" s="76"/>
      <c r="L25" s="68">
        <f t="shared" ref="L25:L32" ca="1" si="45">IF(B25="SINAPI",MATCH(C25,INDIRECT("'["&amp;CUSTOS_ANALITICO&amp;"]"&amp;PLAN_COMP_SINAPI&amp;"'!$G:$G"),0),IF(B25="SINAPI-I",MATCH(C25,INDIRECT("'["&amp;PRECOS_INSUMOS&amp;"]"&amp;PLAN_INS_SINAPI&amp;"'!$A:$A"),0),IF(B25="CPOS",MATCH(C25,INDIRECT("'["&amp;PRECOS_SERV_CPOS&amp;"]"&amp;PLAN_SERV_CPOS&amp;"'!$A:$A"),0),IF(B25="CPOS-I",MATCH(C25,INDIRECT("'["&amp;PRECOS_INS_CPOS&amp;"]"&amp;PLAN_INS_CPOS&amp;"'!$A:$A"),0),IF(B25="COTAÇÃO",MATCH(C25,INDIRECT("COTAÇÕES!$A:$A"),0),0)))))</f>
        <v>0</v>
      </c>
      <c r="M25" s="69">
        <f t="shared" ref="M25:M32" ca="1" si="46">IF(B25="SINAPI",OFFSET(INDIRECT("'["&amp;CUSTOS_ANALITICO&amp;"]"&amp;PLAN_COMP_SINAPI&amp;"'!$a$1"),$L25-1,21)+OFFSET(INDIRECT("'["&amp;CUSTOS_ANALITICO&amp;"]"&amp;PLAN_COMP_SINAPI&amp;"'!$A$1"),$L25-1,23),IF(B25="SINAPI-I",OFFSET(INDIRECT("'["&amp;PRECOS_INSUMOS&amp;"]"&amp;PLAN_INS_SINAPI&amp;"'!$a$1"),$L25-1,4),IF(B25="CPOS",OFFSET(INDIRECT("'["&amp;PRECOS_SERV_CPOS&amp;"]"&amp;PLAN_SERV_CPOS&amp;"'!$A$1"),$L25-1,4),IF(B25="CPOS-I",OFFSET(INDIRECT("'["&amp;PRECOS_INS_CPOS&amp;"]"&amp;PLAN_INS_CPOS&amp;"'!$A$1"),$L25-1,3),IF(B25="COTAÇÃO",OFFSET(INDIRECT("COTAÇÕES!$A$1"),$L25-1,6),0)))))</f>
        <v>0</v>
      </c>
      <c r="N25" s="69">
        <f t="shared" ref="N25:N32" ca="1" si="47">IF(B25="SINAPI",OFFSET(INDIRECT("'["&amp;CUSTOS_ANALITICO&amp;"]"&amp;PLAN_COMP_SINAPI&amp;"'!$a$1"),$L25-1,19),IF(B25="CPOS",OFFSET(INDIRECT("'["&amp;PRECOS_SERV_CPOS&amp;"]"&amp;PLAN_SERV_CPOS&amp;"'!$A$1"),$L25-1,5),0))</f>
        <v>0</v>
      </c>
    </row>
    <row r="26" spans="1:14">
      <c r="A26" s="100" t="s">
        <v>2</v>
      </c>
      <c r="B26" s="62"/>
      <c r="C26" s="63"/>
      <c r="D26" s="57" t="s">
        <v>14</v>
      </c>
      <c r="E26" s="46" t="s">
        <v>15</v>
      </c>
      <c r="F26" s="58" t="s">
        <v>16</v>
      </c>
      <c r="G26" s="437" t="s">
        <v>128</v>
      </c>
      <c r="H26" s="438"/>
      <c r="I26" s="438"/>
      <c r="J26" s="439"/>
      <c r="K26" s="203" t="s">
        <v>18</v>
      </c>
      <c r="L26" s="68">
        <f t="shared" ca="1" si="45"/>
        <v>0</v>
      </c>
      <c r="M26" s="69">
        <f t="shared" ca="1" si="46"/>
        <v>0</v>
      </c>
      <c r="N26" s="69">
        <f t="shared" ca="1" si="47"/>
        <v>0</v>
      </c>
    </row>
    <row r="27" spans="1:14">
      <c r="A27" s="204" t="s">
        <v>131</v>
      </c>
      <c r="B27" s="202"/>
      <c r="C27" s="78"/>
      <c r="D27" s="169" t="s">
        <v>281</v>
      </c>
      <c r="E27" s="170" t="s">
        <v>40</v>
      </c>
      <c r="F27" s="171">
        <v>44378</v>
      </c>
      <c r="G27" s="440"/>
      <c r="H27" s="441"/>
      <c r="I27" s="172">
        <f>SUM(I29)</f>
        <v>0.82</v>
      </c>
      <c r="J27" s="172">
        <f>SUM(J29:J30)</f>
        <v>0.05</v>
      </c>
      <c r="K27" s="64">
        <f>SUM(I27:J27)</f>
        <v>0.87</v>
      </c>
      <c r="L27" s="68">
        <f t="shared" ca="1" si="45"/>
        <v>0</v>
      </c>
      <c r="M27" s="69">
        <f t="shared" ca="1" si="46"/>
        <v>0</v>
      </c>
      <c r="N27" s="69">
        <f t="shared" ca="1" si="47"/>
        <v>0</v>
      </c>
    </row>
    <row r="28" spans="1:14">
      <c r="A28" s="101"/>
      <c r="B28" s="79" t="s">
        <v>17</v>
      </c>
      <c r="C28" s="66" t="s">
        <v>2</v>
      </c>
      <c r="D28" s="67" t="s">
        <v>20</v>
      </c>
      <c r="E28" s="47" t="s">
        <v>15</v>
      </c>
      <c r="F28" s="65" t="s">
        <v>21</v>
      </c>
      <c r="G28" s="65" t="s">
        <v>28</v>
      </c>
      <c r="H28" s="65" t="s">
        <v>29</v>
      </c>
      <c r="I28" s="65" t="s">
        <v>42</v>
      </c>
      <c r="J28" s="65" t="s">
        <v>43</v>
      </c>
      <c r="K28" s="65" t="s">
        <v>22</v>
      </c>
      <c r="L28" s="68">
        <f t="shared" ca="1" si="45"/>
        <v>0</v>
      </c>
      <c r="M28" s="69">
        <f t="shared" ca="1" si="46"/>
        <v>0</v>
      </c>
      <c r="N28" s="69">
        <f t="shared" ca="1" si="47"/>
        <v>0</v>
      </c>
    </row>
    <row r="29" spans="1:14">
      <c r="A29" s="102"/>
      <c r="B29" s="177" t="s">
        <v>39</v>
      </c>
      <c r="C29" s="178" t="s">
        <v>352</v>
      </c>
      <c r="D29" s="176" t="s">
        <v>350</v>
      </c>
      <c r="E29" s="175" t="s">
        <v>127</v>
      </c>
      <c r="F29" s="174">
        <v>0.86709999999999998</v>
      </c>
      <c r="G29" s="173">
        <v>0.95</v>
      </c>
      <c r="H29" s="173"/>
      <c r="I29" s="173">
        <f t="shared" ref="I29" si="48">TRUNC($F29*G29,2)</f>
        <v>0.82</v>
      </c>
      <c r="J29" s="173">
        <f t="shared" ref="J29" si="49">TRUNC($F29*H29,2)</f>
        <v>0</v>
      </c>
      <c r="K29" s="70">
        <f>I29+J29</f>
        <v>0.82</v>
      </c>
      <c r="L29" s="68" t="e">
        <f t="shared" ref="L29" ca="1" si="50">IF(B29="SINAPI",MATCH(C29,INDIRECT("'["&amp;CUSTOS_ANALITICO&amp;"]"&amp;PLAN_COMP_SINAPI&amp;"'!$G:$G"),0),IF(B29="SINAPI-I",MATCH(C29,INDIRECT("'["&amp;PRECOS_INSUMOS&amp;"]"&amp;PLAN_INS_SINAPI&amp;"'!$A:$A"),0),IF(B29="CPOS",MATCH(C29,INDIRECT("'["&amp;PRECOS_SERV_CPOS&amp;"]"&amp;PLAN_SERV_CPOS&amp;"'!$A:$A"),0),IF(B29="CPOS-I",MATCH(C29,INDIRECT("'["&amp;PRECOS_INS_CPOS&amp;"]"&amp;PLAN_INS_CPOS&amp;"'!$A:$A"),0),IF(B29="COTAÇÃO",MATCH(C29,INDIRECT("COTAÇÕES!$A:$A"),0),0)))))</f>
        <v>#REF!</v>
      </c>
      <c r="M29" s="69" t="e">
        <f t="shared" ref="M29" ca="1" si="51">IF(B29="SINAPI",OFFSET(INDIRECT("'["&amp;CUSTOS_ANALITICO&amp;"]"&amp;PLAN_COMP_SINAPI&amp;"'!$a$1"),$L29-1,21)+OFFSET(INDIRECT("'["&amp;CUSTOS_ANALITICO&amp;"]"&amp;PLAN_COMP_SINAPI&amp;"'!$A$1"),$L29-1,23),IF(B29="SINAPI-I",OFFSET(INDIRECT("'["&amp;PRECOS_INSUMOS&amp;"]"&amp;PLAN_INS_SINAPI&amp;"'!$a$1"),$L29-1,4),IF(B29="CPOS",OFFSET(INDIRECT("'["&amp;PRECOS_SERV_CPOS&amp;"]"&amp;PLAN_SERV_CPOS&amp;"'!$A$1"),$L29-1,4),IF(B29="CPOS-I",OFFSET(INDIRECT("'["&amp;PRECOS_INS_CPOS&amp;"]"&amp;PLAN_INS_CPOS&amp;"'!$A$1"),$L29-1,3),IF(B29="COTAÇÃO",OFFSET(INDIRECT("COTAÇÕES!$A$1"),$L29-1,6),0)))))</f>
        <v>#REF!</v>
      </c>
      <c r="N29" s="69" t="e">
        <f t="shared" ref="N29" ca="1" si="52">IF(B29="SINAPI",OFFSET(INDIRECT("'["&amp;CUSTOS_ANALITICO&amp;"]"&amp;PLAN_COMP_SINAPI&amp;"'!$a$1"),$L29-1,19),IF(B29="CPOS",OFFSET(INDIRECT("'["&amp;PRECOS_SERV_CPOS&amp;"]"&amp;PLAN_SERV_CPOS&amp;"'!$A$1"),$L29-1,5),0))</f>
        <v>#REF!</v>
      </c>
    </row>
    <row r="30" spans="1:14">
      <c r="A30" s="102"/>
      <c r="B30" s="177" t="s">
        <v>39</v>
      </c>
      <c r="C30" s="179" t="s">
        <v>353</v>
      </c>
      <c r="D30" s="176" t="s">
        <v>351</v>
      </c>
      <c r="E30" s="175" t="s">
        <v>127</v>
      </c>
      <c r="F30" s="174">
        <v>2E-3</v>
      </c>
      <c r="G30" s="173"/>
      <c r="H30" s="173">
        <v>27.132000000000001</v>
      </c>
      <c r="I30" s="173">
        <f t="shared" ref="I30" si="53">TRUNC($F30*G30,2)</f>
        <v>0</v>
      </c>
      <c r="J30" s="173">
        <f t="shared" ref="J30" si="54">TRUNC($F30*H30,2)</f>
        <v>0.05</v>
      </c>
      <c r="K30" s="70">
        <f>I30+J30</f>
        <v>0.05</v>
      </c>
      <c r="L30" s="68" t="e">
        <f t="shared" ca="1" si="45"/>
        <v>#REF!</v>
      </c>
      <c r="M30" s="69" t="e">
        <f t="shared" ca="1" si="46"/>
        <v>#REF!</v>
      </c>
      <c r="N30" s="69" t="e">
        <f t="shared" ca="1" si="47"/>
        <v>#REF!</v>
      </c>
    </row>
    <row r="31" spans="1:14" ht="13.5" customHeight="1">
      <c r="A31" s="431" t="s">
        <v>23</v>
      </c>
      <c r="B31" s="432"/>
      <c r="C31" s="433"/>
      <c r="D31" s="434" t="s">
        <v>355</v>
      </c>
      <c r="E31" s="435"/>
      <c r="F31" s="435"/>
      <c r="G31" s="435"/>
      <c r="H31" s="435"/>
      <c r="I31" s="435"/>
      <c r="J31" s="435"/>
      <c r="K31" s="436"/>
      <c r="L31" s="68">
        <f t="shared" ca="1" si="45"/>
        <v>0</v>
      </c>
      <c r="M31" s="69">
        <f t="shared" ca="1" si="46"/>
        <v>0</v>
      </c>
      <c r="N31" s="69">
        <f t="shared" ca="1" si="47"/>
        <v>0</v>
      </c>
    </row>
    <row r="32" spans="1:14">
      <c r="A32" s="99"/>
      <c r="B32" s="72"/>
      <c r="C32" s="73"/>
      <c r="D32" s="74"/>
      <c r="E32" s="50"/>
      <c r="F32" s="75"/>
      <c r="G32" s="76"/>
      <c r="H32" s="76"/>
      <c r="I32" s="76"/>
      <c r="J32" s="76"/>
      <c r="K32" s="76"/>
      <c r="L32" s="68">
        <f t="shared" ca="1" si="45"/>
        <v>0</v>
      </c>
      <c r="M32" s="69">
        <f t="shared" ca="1" si="46"/>
        <v>0</v>
      </c>
      <c r="N32" s="69">
        <f t="shared" ca="1" si="47"/>
        <v>0</v>
      </c>
    </row>
    <row r="33" spans="1:14">
      <c r="A33" s="99"/>
      <c r="B33" s="72"/>
      <c r="C33" s="73"/>
      <c r="D33" s="74"/>
      <c r="E33" s="50"/>
      <c r="F33" s="75"/>
      <c r="G33" s="76"/>
      <c r="H33" s="76"/>
      <c r="I33" s="76"/>
      <c r="J33" s="76"/>
      <c r="K33" s="76"/>
      <c r="L33" s="68">
        <f t="shared" ref="L33" ca="1" si="55">IF(B33="SINAPI",MATCH(C33,INDIRECT("'["&amp;CUSTOS_ANALITICO&amp;"]"&amp;PLAN_COMP_SINAPI&amp;"'!$G:$G"),0),IF(B33="SINAPI-I",MATCH(C33,INDIRECT("'["&amp;PRECOS_INSUMOS&amp;"]"&amp;PLAN_INS_SINAPI&amp;"'!$A:$A"),0),IF(B33="CPOS",MATCH(C33,INDIRECT("'["&amp;PRECOS_SERV_CPOS&amp;"]"&amp;PLAN_SERV_CPOS&amp;"'!$A:$A"),0),IF(B33="CPOS-I",MATCH(C33,INDIRECT("'["&amp;PRECOS_INS_CPOS&amp;"]"&amp;PLAN_INS_CPOS&amp;"'!$A:$A"),0),IF(B33="COTAÇÃO",MATCH(C33,INDIRECT("COTAÇÕES!$A:$A"),0),0)))))</f>
        <v>0</v>
      </c>
      <c r="M33" s="69">
        <f t="shared" ref="M33" ca="1" si="56">IF(B33="SINAPI",OFFSET(INDIRECT("'["&amp;CUSTOS_ANALITICO&amp;"]"&amp;PLAN_COMP_SINAPI&amp;"'!$a$1"),$L33-1,21)+OFFSET(INDIRECT("'["&amp;CUSTOS_ANALITICO&amp;"]"&amp;PLAN_COMP_SINAPI&amp;"'!$A$1"),$L33-1,23),IF(B33="SINAPI-I",OFFSET(INDIRECT("'["&amp;PRECOS_INSUMOS&amp;"]"&amp;PLAN_INS_SINAPI&amp;"'!$a$1"),$L33-1,4),IF(B33="CPOS",OFFSET(INDIRECT("'["&amp;PRECOS_SERV_CPOS&amp;"]"&amp;PLAN_SERV_CPOS&amp;"'!$A$1"),$L33-1,4),IF(B33="CPOS-I",OFFSET(INDIRECT("'["&amp;PRECOS_INS_CPOS&amp;"]"&amp;PLAN_INS_CPOS&amp;"'!$A$1"),$L33-1,3),IF(B33="COTAÇÃO",OFFSET(INDIRECT("COTAÇÕES!$A$1"),$L33-1,6),0)))))</f>
        <v>0</v>
      </c>
      <c r="N33" s="69">
        <f t="shared" ref="N33" ca="1" si="57">IF(B33="SINAPI",OFFSET(INDIRECT("'["&amp;CUSTOS_ANALITICO&amp;"]"&amp;PLAN_COMP_SINAPI&amp;"'!$a$1"),$L33-1,19),IF(B33="CPOS",OFFSET(INDIRECT("'["&amp;PRECOS_SERV_CPOS&amp;"]"&amp;PLAN_SERV_CPOS&amp;"'!$A$1"),$L33-1,5),0))</f>
        <v>0</v>
      </c>
    </row>
    <row r="34" spans="1:14">
      <c r="A34" s="103"/>
      <c r="B34" s="80"/>
      <c r="C34" s="81"/>
      <c r="D34" s="82"/>
      <c r="E34" s="51"/>
      <c r="F34" s="83"/>
      <c r="G34" s="84"/>
      <c r="H34" s="84"/>
      <c r="I34" s="84"/>
      <c r="J34" s="84"/>
      <c r="K34" s="76"/>
      <c r="L34" s="68">
        <f t="shared" ca="1" si="9"/>
        <v>0</v>
      </c>
      <c r="M34" s="69">
        <f t="shared" ca="1" si="10"/>
        <v>0</v>
      </c>
      <c r="N34" s="69">
        <f t="shared" ca="1" si="11"/>
        <v>0</v>
      </c>
    </row>
    <row r="35" spans="1:14">
      <c r="A35" s="99"/>
      <c r="B35" s="72"/>
      <c r="C35" s="73"/>
      <c r="D35" s="74"/>
      <c r="E35" s="50"/>
      <c r="F35" s="75"/>
      <c r="G35" s="76"/>
      <c r="H35" s="76"/>
      <c r="I35" s="76"/>
      <c r="J35" s="76"/>
      <c r="K35" s="76"/>
      <c r="L35" s="68">
        <f t="shared" ref="L35" ca="1" si="58">IF(B35="SINAPI",MATCH(C35,INDIRECT("'["&amp;CUSTOS_ANALITICO&amp;"]"&amp;PLAN_COMP_SINAPI&amp;"'!$G:$G"),0),IF(B35="SINAPI-I",MATCH(C35,INDIRECT("'["&amp;PRECOS_INSUMOS&amp;"]"&amp;PLAN_INS_SINAPI&amp;"'!$A:$A"),0),IF(B35="CPOS",MATCH(C35,INDIRECT("'["&amp;PRECOS_SERV_CPOS&amp;"]"&amp;PLAN_SERV_CPOS&amp;"'!$A:$A"),0),IF(B35="CPOS-I",MATCH(C35,INDIRECT("'["&amp;PRECOS_INS_CPOS&amp;"]"&amp;PLAN_INS_CPOS&amp;"'!$A:$A"),0),IF(B35="COTAÇÃO",MATCH(C35,INDIRECT("COTAÇÕES!$A:$A"),0),0)))))</f>
        <v>0</v>
      </c>
      <c r="M35" s="69">
        <f t="shared" ref="M35" ca="1" si="59">IF(B35="SINAPI",OFFSET(INDIRECT("'["&amp;CUSTOS_ANALITICO&amp;"]"&amp;PLAN_COMP_SINAPI&amp;"'!$a$1"),$L35-1,21)+OFFSET(INDIRECT("'["&amp;CUSTOS_ANALITICO&amp;"]"&amp;PLAN_COMP_SINAPI&amp;"'!$A$1"),$L35-1,23),IF(B35="SINAPI-I",OFFSET(INDIRECT("'["&amp;PRECOS_INSUMOS&amp;"]"&amp;PLAN_INS_SINAPI&amp;"'!$a$1"),$L35-1,4),IF(B35="CPOS",OFFSET(INDIRECT("'["&amp;PRECOS_SERV_CPOS&amp;"]"&amp;PLAN_SERV_CPOS&amp;"'!$A$1"),$L35-1,4),IF(B35="CPOS-I",OFFSET(INDIRECT("'["&amp;PRECOS_INS_CPOS&amp;"]"&amp;PLAN_INS_CPOS&amp;"'!$A$1"),$L35-1,3),IF(B35="COTAÇÃO",OFFSET(INDIRECT("COTAÇÕES!$A$1"),$L35-1,6),0)))))</f>
        <v>0</v>
      </c>
      <c r="N35" s="69">
        <f t="shared" ref="N35" ca="1" si="60">IF(B35="SINAPI",OFFSET(INDIRECT("'["&amp;CUSTOS_ANALITICO&amp;"]"&amp;PLAN_COMP_SINAPI&amp;"'!$a$1"),$L35-1,19),IF(B35="CPOS",OFFSET(INDIRECT("'["&amp;PRECOS_SERV_CPOS&amp;"]"&amp;PLAN_SERV_CPOS&amp;"'!$A$1"),$L35-1,5),0))</f>
        <v>0</v>
      </c>
    </row>
    <row r="36" spans="1:14">
      <c r="A36" s="99"/>
      <c r="B36" s="72"/>
      <c r="C36" s="73"/>
      <c r="D36" s="74"/>
      <c r="E36" s="50"/>
      <c r="F36" s="75"/>
      <c r="G36" s="76"/>
      <c r="H36" s="76"/>
      <c r="I36" s="76"/>
      <c r="J36" s="76"/>
      <c r="K36" s="76"/>
      <c r="L36" s="68">
        <f t="shared" ref="L36" ca="1" si="61">IF(B36="SINAPI",MATCH(C36,INDIRECT("'["&amp;CUSTOS_ANALITICO&amp;"]"&amp;PLAN_COMP_SINAPI&amp;"'!$G:$G"),0),IF(B36="SINAPI-I",MATCH(C36,INDIRECT("'["&amp;PRECOS_INSUMOS&amp;"]"&amp;PLAN_INS_SINAPI&amp;"'!$A:$A"),0),IF(B36="CPOS",MATCH(C36,INDIRECT("'["&amp;PRECOS_SERV_CPOS&amp;"]"&amp;PLAN_SERV_CPOS&amp;"'!$A:$A"),0),IF(B36="CPOS-I",MATCH(C36,INDIRECT("'["&amp;PRECOS_INS_CPOS&amp;"]"&amp;PLAN_INS_CPOS&amp;"'!$A:$A"),0),IF(B36="COTAÇÃO",MATCH(C36,INDIRECT("COTAÇÕES!$A:$A"),0),0)))))</f>
        <v>0</v>
      </c>
      <c r="M36" s="69">
        <f t="shared" ref="M36" ca="1" si="62">IF(B36="SINAPI",OFFSET(INDIRECT("'["&amp;CUSTOS_ANALITICO&amp;"]"&amp;PLAN_COMP_SINAPI&amp;"'!$a$1"),$L36-1,21)+OFFSET(INDIRECT("'["&amp;CUSTOS_ANALITICO&amp;"]"&amp;PLAN_COMP_SINAPI&amp;"'!$A$1"),$L36-1,23),IF(B36="SINAPI-I",OFFSET(INDIRECT("'["&amp;PRECOS_INSUMOS&amp;"]"&amp;PLAN_INS_SINAPI&amp;"'!$a$1"),$L36-1,4),IF(B36="CPOS",OFFSET(INDIRECT("'["&amp;PRECOS_SERV_CPOS&amp;"]"&amp;PLAN_SERV_CPOS&amp;"'!$A$1"),$L36-1,4),IF(B36="CPOS-I",OFFSET(INDIRECT("'["&amp;PRECOS_INS_CPOS&amp;"]"&amp;PLAN_INS_CPOS&amp;"'!$A$1"),$L36-1,3),IF(B36="COTAÇÃO",OFFSET(INDIRECT("COTAÇÕES!$A$1"),$L36-1,6),0)))))</f>
        <v>0</v>
      </c>
      <c r="N36" s="69">
        <f t="shared" ref="N36" ca="1" si="63">IF(B36="SINAPI",OFFSET(INDIRECT("'["&amp;CUSTOS_ANALITICO&amp;"]"&amp;PLAN_COMP_SINAPI&amp;"'!$a$1"),$L36-1,19),IF(B36="CPOS",OFFSET(INDIRECT("'["&amp;PRECOS_SERV_CPOS&amp;"]"&amp;PLAN_SERV_CPOS&amp;"'!$A$1"),$L36-1,5),0))</f>
        <v>0</v>
      </c>
    </row>
    <row r="37" spans="1:14">
      <c r="A37" s="99"/>
      <c r="B37" s="72"/>
      <c r="C37" s="73"/>
      <c r="D37" s="74"/>
      <c r="E37" s="50"/>
      <c r="F37" s="75"/>
      <c r="G37" s="76"/>
      <c r="H37" s="76"/>
      <c r="I37" s="76"/>
      <c r="J37" s="76"/>
      <c r="K37" s="76"/>
    </row>
    <row r="38" spans="1:14">
      <c r="A38" s="104"/>
      <c r="D38" s="87"/>
    </row>
    <row r="39" spans="1:14">
      <c r="A39" s="104"/>
      <c r="B39" s="88"/>
      <c r="C39" s="89"/>
      <c r="D39" s="52"/>
      <c r="E39" s="53"/>
      <c r="F39" s="90"/>
      <c r="G39" s="90"/>
      <c r="H39" s="90"/>
      <c r="I39" s="90"/>
      <c r="J39" s="90"/>
      <c r="K39" s="54"/>
    </row>
    <row r="40" spans="1:14">
      <c r="A40" s="104"/>
      <c r="B40" s="88"/>
      <c r="C40" s="89"/>
      <c r="D40" s="52"/>
      <c r="E40" s="53"/>
      <c r="F40" s="90"/>
      <c r="G40" s="90"/>
      <c r="H40" s="90"/>
      <c r="I40" s="90"/>
      <c r="J40" s="90"/>
      <c r="K40" s="90"/>
    </row>
    <row r="41" spans="1:14">
      <c r="A41" s="104"/>
      <c r="B41" s="88"/>
      <c r="C41" s="89"/>
      <c r="D41" s="52"/>
      <c r="E41" s="53"/>
      <c r="F41" s="90"/>
      <c r="G41" s="90"/>
      <c r="H41" s="90"/>
      <c r="I41" s="90"/>
      <c r="J41" s="90"/>
      <c r="K41" s="90"/>
    </row>
    <row r="54" spans="1:35">
      <c r="A54" s="103"/>
      <c r="B54" s="80"/>
      <c r="C54" s="81"/>
      <c r="D54" s="82"/>
      <c r="E54" s="51"/>
      <c r="F54" s="83"/>
      <c r="G54" s="84"/>
      <c r="H54" s="84"/>
      <c r="I54" s="84"/>
      <c r="J54" s="84"/>
    </row>
    <row r="59" spans="1:35" s="92" customFormat="1" ht="15">
      <c r="A59" s="105"/>
      <c r="B59" s="55"/>
      <c r="C59" s="56"/>
      <c r="D59" s="55"/>
      <c r="E59" s="93"/>
      <c r="F59" s="55"/>
      <c r="G59" s="55"/>
      <c r="H59" s="55"/>
      <c r="I59" s="55"/>
      <c r="J59" s="55"/>
      <c r="K59" s="55"/>
      <c r="L59" s="55"/>
      <c r="M59" s="91"/>
      <c r="N59" s="91"/>
      <c r="O59" s="55"/>
      <c r="P59" s="55"/>
      <c r="Q59" s="55"/>
      <c r="R59" s="55"/>
      <c r="S59" s="55"/>
      <c r="T59" s="55"/>
      <c r="U59" s="55"/>
      <c r="V59" s="55"/>
      <c r="W59" s="55"/>
      <c r="X59" s="55"/>
      <c r="AD59" s="60"/>
      <c r="AE59" s="60"/>
      <c r="AF59" s="60"/>
      <c r="AG59" s="60"/>
      <c r="AH59" s="60"/>
      <c r="AI59" s="60"/>
    </row>
    <row r="60" spans="1:35" s="92" customFormat="1" ht="15">
      <c r="A60" s="105"/>
      <c r="B60" s="55"/>
      <c r="C60" s="56"/>
      <c r="D60" s="55"/>
      <c r="E60" s="94"/>
      <c r="F60" s="55"/>
      <c r="G60" s="55"/>
      <c r="H60" s="55"/>
      <c r="I60" s="55"/>
      <c r="J60" s="55"/>
      <c r="K60" s="55"/>
      <c r="L60" s="60"/>
      <c r="M60" s="61"/>
      <c r="N60" s="91"/>
      <c r="O60" s="55"/>
      <c r="P60" s="55"/>
      <c r="Q60" s="55"/>
      <c r="R60" s="55"/>
      <c r="S60" s="55"/>
      <c r="T60" s="55"/>
      <c r="U60" s="55"/>
      <c r="V60" s="55"/>
      <c r="W60" s="55"/>
      <c r="X60" s="55"/>
      <c r="AD60" s="60"/>
      <c r="AE60" s="60"/>
      <c r="AF60" s="60"/>
      <c r="AG60" s="60"/>
      <c r="AH60" s="60"/>
      <c r="AI60" s="60"/>
    </row>
    <row r="61" spans="1:35" s="92" customFormat="1" ht="15">
      <c r="A61" s="105"/>
      <c r="B61" s="55"/>
      <c r="C61" s="56"/>
      <c r="D61" s="55"/>
      <c r="E61" s="94"/>
      <c r="F61" s="55"/>
      <c r="G61" s="55"/>
      <c r="H61" s="55"/>
      <c r="I61" s="55"/>
      <c r="J61" s="55"/>
      <c r="K61" s="55"/>
      <c r="L61" s="60"/>
      <c r="M61" s="61"/>
      <c r="N61" s="91"/>
      <c r="O61" s="55"/>
      <c r="P61" s="55"/>
      <c r="Q61" s="55"/>
      <c r="R61" s="55"/>
      <c r="S61" s="55"/>
      <c r="T61" s="55"/>
      <c r="U61" s="55"/>
      <c r="V61" s="55"/>
      <c r="W61" s="55"/>
      <c r="X61" s="55"/>
      <c r="AD61" s="60"/>
      <c r="AE61" s="60"/>
      <c r="AF61" s="60"/>
      <c r="AG61" s="60"/>
      <c r="AH61" s="60"/>
      <c r="AI61" s="60"/>
    </row>
    <row r="64" spans="1:35" ht="15">
      <c r="A64" s="105"/>
      <c r="B64" s="55"/>
      <c r="C64" s="56"/>
      <c r="D64" s="55"/>
      <c r="E64" s="94"/>
      <c r="F64" s="55"/>
      <c r="G64" s="55"/>
      <c r="H64" s="55"/>
      <c r="I64" s="55"/>
      <c r="J64" s="55"/>
      <c r="K64" s="55"/>
      <c r="L64" s="55"/>
      <c r="M64" s="91"/>
      <c r="N64" s="91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92"/>
      <c r="Z64" s="92"/>
      <c r="AA64" s="92"/>
    </row>
    <row r="65" spans="1:33" s="92" customFormat="1" ht="15">
      <c r="A65" s="105"/>
      <c r="B65" s="55"/>
      <c r="C65" s="56"/>
      <c r="D65" s="55"/>
      <c r="E65" s="94"/>
      <c r="F65" s="55"/>
      <c r="G65" s="55"/>
      <c r="H65" s="55"/>
      <c r="I65" s="55"/>
      <c r="J65" s="55"/>
      <c r="K65" s="55"/>
      <c r="L65" s="55"/>
      <c r="M65" s="91"/>
      <c r="N65" s="91"/>
      <c r="O65" s="55"/>
      <c r="P65" s="55"/>
      <c r="Q65" s="55"/>
      <c r="R65" s="55"/>
      <c r="S65" s="55"/>
      <c r="T65" s="55"/>
      <c r="U65" s="55"/>
      <c r="V65" s="55"/>
      <c r="W65" s="55"/>
      <c r="X65" s="55"/>
      <c r="AB65" s="60"/>
      <c r="AC65" s="60"/>
      <c r="AD65" s="60"/>
      <c r="AE65" s="60"/>
      <c r="AF65" s="60"/>
      <c r="AG65" s="60"/>
    </row>
    <row r="66" spans="1:33" s="92" customFormat="1" ht="15">
      <c r="A66" s="105"/>
      <c r="B66" s="55"/>
      <c r="C66" s="56"/>
      <c r="D66" s="55"/>
      <c r="E66" s="94"/>
      <c r="F66" s="55"/>
      <c r="G66" s="55"/>
      <c r="H66" s="55"/>
      <c r="I66" s="55"/>
      <c r="J66" s="55"/>
      <c r="K66" s="55"/>
      <c r="L66" s="55"/>
      <c r="M66" s="91"/>
      <c r="N66" s="91"/>
      <c r="O66" s="55"/>
      <c r="P66" s="55"/>
      <c r="Q66" s="55"/>
      <c r="R66" s="55"/>
      <c r="S66" s="55"/>
      <c r="T66" s="55"/>
      <c r="U66" s="55"/>
      <c r="V66" s="55"/>
      <c r="W66" s="55"/>
      <c r="X66" s="55"/>
      <c r="AB66" s="60"/>
      <c r="AC66" s="60"/>
      <c r="AD66" s="60"/>
      <c r="AE66" s="60"/>
      <c r="AF66" s="60"/>
      <c r="AG66" s="60"/>
    </row>
    <row r="67" spans="1:33" s="92" customFormat="1" ht="15">
      <c r="A67" s="105"/>
      <c r="B67" s="55"/>
      <c r="C67" s="56"/>
      <c r="D67" s="55"/>
      <c r="E67" s="94"/>
      <c r="F67" s="55"/>
      <c r="G67" s="60"/>
      <c r="H67" s="60"/>
      <c r="I67" s="60"/>
      <c r="J67" s="60"/>
      <c r="K67" s="60"/>
      <c r="L67" s="60"/>
      <c r="M67" s="61"/>
      <c r="N67" s="61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</row>
  </sheetData>
  <mergeCells count="15">
    <mergeCell ref="B3:M3"/>
    <mergeCell ref="B4:M4"/>
    <mergeCell ref="A5:K5"/>
    <mergeCell ref="G15:J15"/>
    <mergeCell ref="G16:H16"/>
    <mergeCell ref="G6:J6"/>
    <mergeCell ref="G7:H7"/>
    <mergeCell ref="A31:C31"/>
    <mergeCell ref="D31:K31"/>
    <mergeCell ref="A12:C12"/>
    <mergeCell ref="A23:C23"/>
    <mergeCell ref="D12:K12"/>
    <mergeCell ref="D23:K23"/>
    <mergeCell ref="G26:J26"/>
    <mergeCell ref="G27:H27"/>
  </mergeCells>
  <dataValidations disablePrompts="1" count="2">
    <dataValidation type="list" allowBlank="1" showInputMessage="1" showErrorMessage="1" sqref="B9:B11 B18:B22 B29:B30">
      <formula1>"SINAPI,SINAPI-I,CPOS,COTAÇÃO,TCPO,EDIF,EDIF/INFRA"</formula1>
    </dataValidation>
    <dataValidation type="list" errorStyle="warning" showInputMessage="1" showErrorMessage="1" error="ESCOLHA UMA ORIGEM DE PREÇOS VÁLIDA" prompt="ESCOLHA UMA ORIGEM DE PREÇOS" sqref="D1:D2">
      <formula1>"SINAPI,SINAPI-I,CPOS,COMPOSIÇÃO,COTAÇÃO"</formula1>
    </dataValidation>
  </dataValidations>
  <pageMargins left="0.511811024" right="0.511811024" top="0.78740157499999996" bottom="0.78740157499999996" header="0.31496062000000002" footer="0.31496062000000002"/>
  <pageSetup paperSize="9" scale="5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Plan6"/>
  <dimension ref="A1:G56"/>
  <sheetViews>
    <sheetView view="pageBreakPreview" topLeftCell="A31" zoomScale="115" zoomScaleSheetLayoutView="115" workbookViewId="0">
      <selection activeCell="B53" sqref="B53"/>
    </sheetView>
  </sheetViews>
  <sheetFormatPr defaultRowHeight="15"/>
  <cols>
    <col min="1" max="1" width="3.42578125" customWidth="1"/>
    <col min="2" max="2" width="16.7109375" customWidth="1"/>
    <col min="3" max="3" width="23.7109375" bestFit="1" customWidth="1"/>
    <col min="4" max="4" width="8.85546875" customWidth="1"/>
    <col min="5" max="5" width="8.28515625" bestFit="1" customWidth="1"/>
    <col min="6" max="6" width="12.28515625" customWidth="1"/>
    <col min="7" max="7" width="14.28515625" bestFit="1" customWidth="1"/>
  </cols>
  <sheetData>
    <row r="1" spans="1:7" ht="22.5">
      <c r="A1" s="11" t="s">
        <v>2</v>
      </c>
      <c r="B1" s="12"/>
      <c r="C1" s="22" t="s">
        <v>14</v>
      </c>
      <c r="D1" s="13" t="s">
        <v>15</v>
      </c>
      <c r="E1" s="13" t="s">
        <v>16</v>
      </c>
      <c r="F1" s="23"/>
      <c r="G1" s="24" t="s">
        <v>18</v>
      </c>
    </row>
    <row r="2" spans="1:7" ht="22.5">
      <c r="A2" s="25" t="s">
        <v>19</v>
      </c>
      <c r="B2" s="26" t="s">
        <v>120</v>
      </c>
      <c r="C2" s="180" t="s">
        <v>272</v>
      </c>
      <c r="D2" s="181" t="s">
        <v>25</v>
      </c>
      <c r="E2" s="182"/>
      <c r="F2" s="23"/>
      <c r="G2" s="27">
        <f>MEDIAN(G4:G6)</f>
        <v>83.9</v>
      </c>
    </row>
    <row r="3" spans="1:7">
      <c r="A3" s="14"/>
      <c r="B3" s="21" t="s">
        <v>30</v>
      </c>
      <c r="C3" s="21" t="s">
        <v>31</v>
      </c>
      <c r="D3" s="15" t="s">
        <v>32</v>
      </c>
      <c r="E3" s="15" t="s">
        <v>33</v>
      </c>
      <c r="F3" s="28" t="s">
        <v>34</v>
      </c>
      <c r="G3" s="15" t="s">
        <v>35</v>
      </c>
    </row>
    <row r="4" spans="1:7">
      <c r="A4" s="16"/>
      <c r="B4" s="189" t="s">
        <v>119</v>
      </c>
      <c r="C4" s="190" t="s">
        <v>260</v>
      </c>
      <c r="D4" s="185"/>
      <c r="E4" s="186"/>
      <c r="F4" s="187">
        <v>44409</v>
      </c>
      <c r="G4" s="188">
        <v>83.9</v>
      </c>
    </row>
    <row r="5" spans="1:7">
      <c r="A5" s="16"/>
      <c r="B5" s="189" t="s">
        <v>118</v>
      </c>
      <c r="C5" s="190" t="s">
        <v>261</v>
      </c>
      <c r="D5" s="191"/>
      <c r="E5" s="192"/>
      <c r="F5" s="187">
        <v>44409</v>
      </c>
      <c r="G5" s="193">
        <v>83.9</v>
      </c>
    </row>
    <row r="6" spans="1:7">
      <c r="A6" s="16"/>
      <c r="B6" s="189" t="s">
        <v>325</v>
      </c>
      <c r="C6" s="190" t="s">
        <v>324</v>
      </c>
      <c r="D6" s="191"/>
      <c r="E6" s="192"/>
      <c r="F6" s="187">
        <v>44409</v>
      </c>
      <c r="G6" s="193">
        <v>79.900000000000006</v>
      </c>
    </row>
    <row r="7" spans="1:7">
      <c r="A7" s="29" t="s">
        <v>36</v>
      </c>
      <c r="B7" s="30"/>
      <c r="C7" s="444" t="s">
        <v>37</v>
      </c>
      <c r="D7" s="445"/>
      <c r="E7" s="445"/>
      <c r="F7" s="445"/>
      <c r="G7" s="446"/>
    </row>
    <row r="8" spans="1:7">
      <c r="A8" s="17"/>
      <c r="B8" s="17"/>
      <c r="C8" s="31"/>
      <c r="D8" s="18"/>
      <c r="E8" s="19"/>
      <c r="F8" s="32"/>
      <c r="G8" s="20"/>
    </row>
    <row r="9" spans="1:7" ht="22.5">
      <c r="A9" s="11" t="s">
        <v>2</v>
      </c>
      <c r="B9" s="12"/>
      <c r="C9" s="22" t="s">
        <v>14</v>
      </c>
      <c r="D9" s="13" t="s">
        <v>15</v>
      </c>
      <c r="E9" s="13" t="s">
        <v>16</v>
      </c>
      <c r="F9" s="23"/>
      <c r="G9" s="24" t="s">
        <v>18</v>
      </c>
    </row>
    <row r="10" spans="1:7" ht="22.5">
      <c r="A10" s="25" t="s">
        <v>24</v>
      </c>
      <c r="B10" s="26" t="s">
        <v>121</v>
      </c>
      <c r="C10" s="180" t="s">
        <v>273</v>
      </c>
      <c r="D10" s="181" t="s">
        <v>25</v>
      </c>
      <c r="E10" s="182"/>
      <c r="F10" s="23"/>
      <c r="G10" s="27">
        <f>MEDIAN(G12:G14)</f>
        <v>85.64</v>
      </c>
    </row>
    <row r="11" spans="1:7">
      <c r="A11" s="14"/>
      <c r="B11" s="21" t="s">
        <v>30</v>
      </c>
      <c r="C11" s="21" t="s">
        <v>31</v>
      </c>
      <c r="D11" s="15" t="s">
        <v>32</v>
      </c>
      <c r="E11" s="15" t="s">
        <v>33</v>
      </c>
      <c r="F11" s="28" t="s">
        <v>34</v>
      </c>
      <c r="G11" s="15" t="s">
        <v>35</v>
      </c>
    </row>
    <row r="12" spans="1:7">
      <c r="A12" s="16"/>
      <c r="B12" s="183" t="s">
        <v>327</v>
      </c>
      <c r="C12" s="184" t="s">
        <v>326</v>
      </c>
      <c r="D12" s="185"/>
      <c r="E12" s="186"/>
      <c r="F12" s="187">
        <v>44409</v>
      </c>
      <c r="G12" s="188">
        <v>85.64</v>
      </c>
    </row>
    <row r="13" spans="1:7">
      <c r="A13" s="16"/>
      <c r="B13" s="189" t="s">
        <v>124</v>
      </c>
      <c r="C13" s="190" t="s">
        <v>125</v>
      </c>
      <c r="D13" s="191"/>
      <c r="E13" s="192"/>
      <c r="F13" s="187">
        <v>44409</v>
      </c>
      <c r="G13" s="193">
        <v>85.64</v>
      </c>
    </row>
    <row r="14" spans="1:7">
      <c r="A14" s="16"/>
      <c r="B14" s="189" t="s">
        <v>119</v>
      </c>
      <c r="C14" s="190" t="s">
        <v>260</v>
      </c>
      <c r="D14" s="191"/>
      <c r="E14" s="192"/>
      <c r="F14" s="187">
        <v>44409</v>
      </c>
      <c r="G14" s="193">
        <v>80.64</v>
      </c>
    </row>
    <row r="15" spans="1:7">
      <c r="A15" s="29" t="s">
        <v>36</v>
      </c>
      <c r="B15" s="30"/>
      <c r="C15" s="444" t="s">
        <v>37</v>
      </c>
      <c r="D15" s="445"/>
      <c r="E15" s="445"/>
      <c r="F15" s="445"/>
      <c r="G15" s="446"/>
    </row>
    <row r="16" spans="1:7">
      <c r="A16" s="17"/>
      <c r="B16" s="17"/>
      <c r="C16" s="31"/>
      <c r="D16" s="18"/>
      <c r="E16" s="19"/>
      <c r="F16" s="32"/>
      <c r="G16" s="20"/>
    </row>
    <row r="17" spans="1:7" ht="22.5">
      <c r="A17" s="11" t="s">
        <v>2</v>
      </c>
      <c r="B17" s="12"/>
      <c r="C17" s="22" t="s">
        <v>14</v>
      </c>
      <c r="D17" s="13" t="s">
        <v>15</v>
      </c>
      <c r="E17" s="13" t="s">
        <v>16</v>
      </c>
      <c r="F17" s="23"/>
      <c r="G17" s="24" t="s">
        <v>18</v>
      </c>
    </row>
    <row r="18" spans="1:7" ht="22.5">
      <c r="A18" s="25" t="s">
        <v>61</v>
      </c>
      <c r="B18" s="26" t="s">
        <v>122</v>
      </c>
      <c r="C18" s="180" t="s">
        <v>274</v>
      </c>
      <c r="D18" s="181" t="s">
        <v>25</v>
      </c>
      <c r="E18" s="182"/>
      <c r="F18" s="23"/>
      <c r="G18" s="27">
        <f>MEDIAN(G20:G22)</f>
        <v>257.25</v>
      </c>
    </row>
    <row r="19" spans="1:7">
      <c r="A19" s="14"/>
      <c r="B19" s="21" t="s">
        <v>30</v>
      </c>
      <c r="C19" s="21" t="s">
        <v>31</v>
      </c>
      <c r="D19" s="15" t="s">
        <v>32</v>
      </c>
      <c r="E19" s="15" t="s">
        <v>33</v>
      </c>
      <c r="F19" s="28" t="s">
        <v>34</v>
      </c>
      <c r="G19" s="15" t="s">
        <v>35</v>
      </c>
    </row>
    <row r="20" spans="1:7">
      <c r="A20" s="16"/>
      <c r="B20" s="183" t="s">
        <v>328</v>
      </c>
      <c r="C20" s="184" t="s">
        <v>123</v>
      </c>
      <c r="D20" s="185"/>
      <c r="E20" s="186"/>
      <c r="F20" s="187">
        <v>44409</v>
      </c>
      <c r="G20" s="188">
        <v>152.18</v>
      </c>
    </row>
    <row r="21" spans="1:7">
      <c r="A21" s="16"/>
      <c r="B21" s="189" t="s">
        <v>330</v>
      </c>
      <c r="C21" s="190" t="s">
        <v>329</v>
      </c>
      <c r="D21" s="191"/>
      <c r="E21" s="192"/>
      <c r="F21" s="187">
        <v>44409</v>
      </c>
      <c r="G21" s="188">
        <v>257.25</v>
      </c>
    </row>
    <row r="22" spans="1:7">
      <c r="A22" s="16"/>
      <c r="B22" s="189" t="s">
        <v>118</v>
      </c>
      <c r="C22" s="190" t="s">
        <v>331</v>
      </c>
      <c r="D22" s="191"/>
      <c r="E22" s="192"/>
      <c r="F22" s="187">
        <v>44409</v>
      </c>
      <c r="G22" s="188">
        <v>291.25</v>
      </c>
    </row>
    <row r="23" spans="1:7">
      <c r="A23" s="29" t="s">
        <v>36</v>
      </c>
      <c r="B23" s="30"/>
      <c r="C23" s="444" t="s">
        <v>37</v>
      </c>
      <c r="D23" s="445"/>
      <c r="E23" s="445"/>
      <c r="F23" s="445"/>
      <c r="G23" s="446"/>
    </row>
    <row r="24" spans="1:7">
      <c r="A24" s="17"/>
      <c r="B24" s="17"/>
      <c r="C24" s="31"/>
      <c r="D24" s="18"/>
      <c r="E24" s="19"/>
      <c r="F24" s="32"/>
      <c r="G24" s="20"/>
    </row>
    <row r="25" spans="1:7" ht="22.5">
      <c r="A25" s="11" t="s">
        <v>2</v>
      </c>
      <c r="B25" s="12"/>
      <c r="C25" s="22" t="s">
        <v>14</v>
      </c>
      <c r="D25" s="13" t="s">
        <v>15</v>
      </c>
      <c r="E25" s="13" t="s">
        <v>16</v>
      </c>
      <c r="F25" s="23"/>
      <c r="G25" s="24" t="s">
        <v>18</v>
      </c>
    </row>
    <row r="26" spans="1:7" ht="33.75">
      <c r="A26" s="25" t="s">
        <v>316</v>
      </c>
      <c r="B26" s="26" t="s">
        <v>323</v>
      </c>
      <c r="C26" s="180" t="s">
        <v>275</v>
      </c>
      <c r="D26" s="181" t="s">
        <v>25</v>
      </c>
      <c r="E26" s="182"/>
      <c r="F26" s="23"/>
      <c r="G26" s="27">
        <f>MEDIAN(G28:G30)</f>
        <v>72</v>
      </c>
    </row>
    <row r="27" spans="1:7">
      <c r="A27" s="14"/>
      <c r="B27" s="21" t="s">
        <v>30</v>
      </c>
      <c r="C27" s="21" t="s">
        <v>31</v>
      </c>
      <c r="D27" s="15" t="s">
        <v>32</v>
      </c>
      <c r="E27" s="15" t="s">
        <v>33</v>
      </c>
      <c r="F27" s="28" t="s">
        <v>34</v>
      </c>
      <c r="G27" s="15" t="s">
        <v>35</v>
      </c>
    </row>
    <row r="28" spans="1:7">
      <c r="A28" s="16"/>
      <c r="B28" s="183" t="s">
        <v>328</v>
      </c>
      <c r="C28" s="184" t="s">
        <v>123</v>
      </c>
      <c r="D28" s="185"/>
      <c r="E28" s="186"/>
      <c r="F28" s="187">
        <v>44409</v>
      </c>
      <c r="G28" s="188">
        <v>72</v>
      </c>
    </row>
    <row r="29" spans="1:7">
      <c r="A29" s="16"/>
      <c r="B29" s="183" t="s">
        <v>328</v>
      </c>
      <c r="C29" s="184" t="s">
        <v>123</v>
      </c>
      <c r="D29" s="191"/>
      <c r="E29" s="192"/>
      <c r="F29" s="187">
        <v>44409</v>
      </c>
      <c r="G29" s="188">
        <v>70</v>
      </c>
    </row>
    <row r="30" spans="1:7">
      <c r="A30" s="16"/>
      <c r="B30" s="183" t="s">
        <v>328</v>
      </c>
      <c r="C30" s="184" t="s">
        <v>123</v>
      </c>
      <c r="D30" s="191"/>
      <c r="E30" s="192"/>
      <c r="F30" s="187">
        <v>44409</v>
      </c>
      <c r="G30" s="188">
        <v>86.4</v>
      </c>
    </row>
    <row r="31" spans="1:7">
      <c r="A31" s="29" t="s">
        <v>36</v>
      </c>
      <c r="B31" s="30"/>
      <c r="C31" s="444" t="s">
        <v>37</v>
      </c>
      <c r="D31" s="445"/>
      <c r="E31" s="445"/>
      <c r="F31" s="445"/>
      <c r="G31" s="446"/>
    </row>
    <row r="32" spans="1:7">
      <c r="A32" s="17"/>
      <c r="B32" s="17"/>
      <c r="C32" s="31"/>
      <c r="D32" s="18"/>
      <c r="E32" s="19"/>
      <c r="F32" s="32"/>
      <c r="G32" s="20"/>
    </row>
    <row r="33" spans="1:7" ht="22.5">
      <c r="A33" s="11" t="s">
        <v>2</v>
      </c>
      <c r="B33" s="12"/>
      <c r="C33" s="22" t="s">
        <v>14</v>
      </c>
      <c r="D33" s="13" t="s">
        <v>15</v>
      </c>
      <c r="E33" s="13" t="s">
        <v>16</v>
      </c>
      <c r="F33" s="23"/>
      <c r="G33" s="24" t="s">
        <v>18</v>
      </c>
    </row>
    <row r="34" spans="1:7">
      <c r="A34" s="25" t="s">
        <v>317</v>
      </c>
      <c r="B34" s="26" t="s">
        <v>322</v>
      </c>
      <c r="C34" s="180" t="s">
        <v>276</v>
      </c>
      <c r="D34" s="181" t="s">
        <v>25</v>
      </c>
      <c r="E34" s="182"/>
      <c r="F34" s="23"/>
      <c r="G34" s="27">
        <f>MEDIAN(G36:G38)</f>
        <v>1100</v>
      </c>
    </row>
    <row r="35" spans="1:7">
      <c r="A35" s="14"/>
      <c r="B35" s="21" t="s">
        <v>30</v>
      </c>
      <c r="C35" s="21" t="s">
        <v>31</v>
      </c>
      <c r="D35" s="15" t="s">
        <v>32</v>
      </c>
      <c r="E35" s="15" t="s">
        <v>33</v>
      </c>
      <c r="F35" s="28" t="s">
        <v>34</v>
      </c>
      <c r="G35" s="15" t="s">
        <v>35</v>
      </c>
    </row>
    <row r="36" spans="1:7">
      <c r="A36" s="16"/>
      <c r="B36" s="183" t="s">
        <v>328</v>
      </c>
      <c r="C36" s="184" t="s">
        <v>123</v>
      </c>
      <c r="D36" s="185"/>
      <c r="E36" s="186"/>
      <c r="F36" s="187">
        <v>44409</v>
      </c>
      <c r="G36" s="188">
        <v>1100</v>
      </c>
    </row>
    <row r="37" spans="1:7">
      <c r="A37" s="16"/>
      <c r="B37" s="189" t="s">
        <v>333</v>
      </c>
      <c r="C37" s="190" t="s">
        <v>332</v>
      </c>
      <c r="D37" s="191"/>
      <c r="E37" s="192"/>
      <c r="F37" s="187">
        <v>44409</v>
      </c>
      <c r="G37" s="188">
        <v>1100</v>
      </c>
    </row>
    <row r="38" spans="1:7">
      <c r="A38" s="16"/>
      <c r="B38" s="189" t="s">
        <v>119</v>
      </c>
      <c r="C38" s="190" t="s">
        <v>260</v>
      </c>
      <c r="D38" s="191"/>
      <c r="E38" s="192"/>
      <c r="F38" s="187">
        <v>44409</v>
      </c>
      <c r="G38" s="188">
        <v>999</v>
      </c>
    </row>
    <row r="39" spans="1:7">
      <c r="A39" s="29" t="s">
        <v>36</v>
      </c>
      <c r="B39" s="30"/>
      <c r="C39" s="444" t="s">
        <v>37</v>
      </c>
      <c r="D39" s="445"/>
      <c r="E39" s="445"/>
      <c r="F39" s="445"/>
      <c r="G39" s="446"/>
    </row>
    <row r="40" spans="1:7">
      <c r="A40" s="17"/>
      <c r="B40" s="17"/>
      <c r="C40" s="31"/>
      <c r="D40" s="18"/>
      <c r="E40" s="19"/>
      <c r="F40" s="32"/>
      <c r="G40" s="20"/>
    </row>
    <row r="41" spans="1:7" ht="22.5">
      <c r="A41" s="11" t="s">
        <v>2</v>
      </c>
      <c r="B41" s="12"/>
      <c r="C41" s="22" t="s">
        <v>14</v>
      </c>
      <c r="D41" s="13" t="s">
        <v>15</v>
      </c>
      <c r="E41" s="13" t="s">
        <v>16</v>
      </c>
      <c r="F41" s="23"/>
      <c r="G41" s="24" t="s">
        <v>18</v>
      </c>
    </row>
    <row r="42" spans="1:7">
      <c r="A42" s="25" t="s">
        <v>318</v>
      </c>
      <c r="B42" s="26" t="s">
        <v>321</v>
      </c>
      <c r="C42" s="180" t="s">
        <v>277</v>
      </c>
      <c r="D42" s="181" t="s">
        <v>25</v>
      </c>
      <c r="E42" s="182"/>
      <c r="F42" s="23"/>
      <c r="G42" s="27">
        <f>MEDIAN(G44:G46)</f>
        <v>1100</v>
      </c>
    </row>
    <row r="43" spans="1:7">
      <c r="A43" s="14"/>
      <c r="B43" s="21" t="s">
        <v>30</v>
      </c>
      <c r="C43" s="21" t="s">
        <v>31</v>
      </c>
      <c r="D43" s="15" t="s">
        <v>32</v>
      </c>
      <c r="E43" s="15" t="s">
        <v>33</v>
      </c>
      <c r="F43" s="28" t="s">
        <v>34</v>
      </c>
      <c r="G43" s="15" t="s">
        <v>35</v>
      </c>
    </row>
    <row r="44" spans="1:7">
      <c r="A44" s="16"/>
      <c r="B44" s="189" t="s">
        <v>119</v>
      </c>
      <c r="C44" s="190" t="s">
        <v>260</v>
      </c>
      <c r="D44" s="185"/>
      <c r="E44" s="186"/>
      <c r="F44" s="187">
        <v>44409</v>
      </c>
      <c r="G44" s="188">
        <v>1100</v>
      </c>
    </row>
    <row r="45" spans="1:7">
      <c r="A45" s="16"/>
      <c r="B45" s="189" t="s">
        <v>333</v>
      </c>
      <c r="C45" s="190" t="s">
        <v>332</v>
      </c>
      <c r="D45" s="191"/>
      <c r="E45" s="192"/>
      <c r="F45" s="187">
        <v>44409</v>
      </c>
      <c r="G45" s="188">
        <v>1110</v>
      </c>
    </row>
    <row r="46" spans="1:7">
      <c r="A46" s="16"/>
      <c r="B46" s="183" t="s">
        <v>328</v>
      </c>
      <c r="C46" s="184" t="s">
        <v>123</v>
      </c>
      <c r="D46" s="191"/>
      <c r="E46" s="192"/>
      <c r="F46" s="187">
        <v>44409</v>
      </c>
      <c r="G46" s="188">
        <v>1100</v>
      </c>
    </row>
    <row r="47" spans="1:7">
      <c r="A47" s="29" t="s">
        <v>36</v>
      </c>
      <c r="B47" s="30"/>
      <c r="C47" s="444" t="s">
        <v>37</v>
      </c>
      <c r="D47" s="445"/>
      <c r="E47" s="445"/>
      <c r="F47" s="445"/>
      <c r="G47" s="446"/>
    </row>
    <row r="48" spans="1:7">
      <c r="A48" s="17"/>
      <c r="B48" s="17"/>
      <c r="C48" s="31"/>
      <c r="D48" s="18"/>
      <c r="E48" s="19"/>
      <c r="F48" s="32"/>
      <c r="G48" s="20"/>
    </row>
    <row r="49" spans="1:7" ht="22.5">
      <c r="A49" s="11" t="s">
        <v>2</v>
      </c>
      <c r="B49" s="12"/>
      <c r="C49" s="22" t="s">
        <v>14</v>
      </c>
      <c r="D49" s="13" t="s">
        <v>15</v>
      </c>
      <c r="E49" s="13" t="s">
        <v>16</v>
      </c>
      <c r="F49" s="23"/>
      <c r="G49" s="24" t="s">
        <v>18</v>
      </c>
    </row>
    <row r="50" spans="1:7">
      <c r="A50" s="25" t="s">
        <v>319</v>
      </c>
      <c r="B50" s="26" t="s">
        <v>320</v>
      </c>
      <c r="C50" s="180" t="s">
        <v>278</v>
      </c>
      <c r="D50" s="181" t="s">
        <v>25</v>
      </c>
      <c r="E50" s="182"/>
      <c r="F50" s="23"/>
      <c r="G50" s="27">
        <f>MEDIAN(G52:G54)</f>
        <v>1100</v>
      </c>
    </row>
    <row r="51" spans="1:7">
      <c r="A51" s="14"/>
      <c r="B51" s="21" t="s">
        <v>30</v>
      </c>
      <c r="C51" s="21" t="s">
        <v>31</v>
      </c>
      <c r="D51" s="15" t="s">
        <v>32</v>
      </c>
      <c r="E51" s="15" t="s">
        <v>33</v>
      </c>
      <c r="F51" s="28" t="s">
        <v>34</v>
      </c>
      <c r="G51" s="15" t="s">
        <v>35</v>
      </c>
    </row>
    <row r="52" spans="1:7">
      <c r="A52" s="16"/>
      <c r="B52" s="189" t="s">
        <v>333</v>
      </c>
      <c r="C52" s="190" t="s">
        <v>332</v>
      </c>
      <c r="D52" s="185"/>
      <c r="E52" s="186"/>
      <c r="F52" s="187">
        <v>44409</v>
      </c>
      <c r="G52" s="188">
        <v>1100</v>
      </c>
    </row>
    <row r="53" spans="1:7">
      <c r="A53" s="16"/>
      <c r="B53" s="189" t="s">
        <v>335</v>
      </c>
      <c r="C53" s="190" t="s">
        <v>334</v>
      </c>
      <c r="D53" s="191"/>
      <c r="E53" s="192"/>
      <c r="F53" s="187">
        <v>44409</v>
      </c>
      <c r="G53" s="188">
        <v>1100</v>
      </c>
    </row>
    <row r="54" spans="1:7">
      <c r="A54" s="16"/>
      <c r="B54" s="183" t="s">
        <v>328</v>
      </c>
      <c r="C54" s="184" t="s">
        <v>123</v>
      </c>
      <c r="D54" s="191"/>
      <c r="E54" s="192"/>
      <c r="F54" s="187">
        <v>44409</v>
      </c>
      <c r="G54" s="188">
        <v>1100</v>
      </c>
    </row>
    <row r="55" spans="1:7">
      <c r="A55" s="29" t="s">
        <v>36</v>
      </c>
      <c r="B55" s="30"/>
      <c r="C55" s="444" t="s">
        <v>37</v>
      </c>
      <c r="D55" s="445"/>
      <c r="E55" s="445"/>
      <c r="F55" s="445"/>
      <c r="G55" s="446"/>
    </row>
    <row r="56" spans="1:7">
      <c r="A56" s="17"/>
      <c r="B56" s="17"/>
      <c r="C56" s="31"/>
      <c r="D56" s="18"/>
      <c r="E56" s="19"/>
      <c r="F56" s="32"/>
      <c r="G56" s="20"/>
    </row>
  </sheetData>
  <mergeCells count="7">
    <mergeCell ref="C47:G47"/>
    <mergeCell ref="C55:G55"/>
    <mergeCell ref="C15:G15"/>
    <mergeCell ref="C7:G7"/>
    <mergeCell ref="C23:G23"/>
    <mergeCell ref="C31:G31"/>
    <mergeCell ref="C39:G39"/>
  </mergeCells>
  <pageMargins left="0.511811024" right="0.511811024" top="0.78740157499999996" bottom="0.78740157499999996" header="0.31496062000000002" footer="0.31496062000000002"/>
  <pageSetup paperSize="9" orientation="portrait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Planilha1"/>
  <dimension ref="B1:Q149"/>
  <sheetViews>
    <sheetView showOutlineSymbols="0" showWhiteSpace="0" view="pageBreakPreview" topLeftCell="A112" zoomScale="85" zoomScaleNormal="85" zoomScaleSheetLayoutView="85" workbookViewId="0">
      <selection activeCell="C145" sqref="C145"/>
    </sheetView>
  </sheetViews>
  <sheetFormatPr defaultRowHeight="14.25"/>
  <cols>
    <col min="1" max="2" width="9.140625" style="205"/>
    <col min="3" max="3" width="19.42578125" style="205" bestFit="1" customWidth="1"/>
    <col min="4" max="4" width="68.5703125" style="205" bestFit="1" customWidth="1"/>
    <col min="5" max="5" width="5.7109375" style="205" bestFit="1" customWidth="1"/>
    <col min="6" max="6" width="11.42578125" style="205" bestFit="1" customWidth="1"/>
    <col min="7" max="7" width="68.5703125" style="205" bestFit="1" customWidth="1"/>
    <col min="8" max="8" width="22.28515625" style="205" hidden="1" customWidth="1"/>
    <col min="9" max="16384" width="9.140625" style="205"/>
  </cols>
  <sheetData>
    <row r="1" spans="2:17" s="6" customFormat="1" ht="15.75">
      <c r="C1" s="442"/>
      <c r="D1" s="442"/>
      <c r="E1" s="442"/>
      <c r="F1" s="442"/>
      <c r="G1" s="442"/>
      <c r="H1" s="212"/>
      <c r="I1" s="212"/>
      <c r="J1" s="212"/>
      <c r="K1" s="212"/>
      <c r="L1" s="212"/>
      <c r="M1" s="212"/>
      <c r="N1" s="95"/>
      <c r="O1" s="96"/>
      <c r="P1" s="96"/>
      <c r="Q1" s="48"/>
    </row>
    <row r="2" spans="2:17" s="6" customFormat="1" ht="15.75">
      <c r="B2" s="212"/>
      <c r="C2" s="442"/>
      <c r="D2" s="442"/>
      <c r="E2" s="442"/>
      <c r="F2" s="442"/>
      <c r="G2" s="442"/>
      <c r="H2" s="212"/>
      <c r="I2" s="212"/>
      <c r="J2" s="212"/>
      <c r="K2" s="212"/>
      <c r="L2" s="212"/>
      <c r="M2" s="212"/>
      <c r="N2" s="95"/>
      <c r="O2" s="96"/>
      <c r="P2" s="96"/>
      <c r="Q2" s="48"/>
    </row>
    <row r="3" spans="2:17" s="6" customFormat="1" ht="15.75">
      <c r="B3" s="212"/>
      <c r="C3" s="201"/>
      <c r="D3" s="201"/>
      <c r="E3" s="201"/>
      <c r="F3" s="201"/>
      <c r="G3" s="201"/>
      <c r="H3" s="212"/>
      <c r="I3" s="212"/>
      <c r="J3" s="212"/>
      <c r="K3" s="212"/>
      <c r="L3" s="212"/>
      <c r="M3" s="212"/>
      <c r="N3" s="95"/>
      <c r="O3" s="96"/>
      <c r="P3" s="96"/>
      <c r="Q3" s="48"/>
    </row>
    <row r="4" spans="2:17" s="6" customFormat="1" ht="15.75">
      <c r="B4" s="212"/>
      <c r="C4" s="201"/>
      <c r="D4" s="201"/>
      <c r="E4" s="201"/>
      <c r="F4" s="201"/>
      <c r="G4" s="201"/>
      <c r="H4" s="212"/>
      <c r="I4" s="212"/>
      <c r="J4" s="212"/>
      <c r="K4" s="212"/>
      <c r="L4" s="212"/>
      <c r="M4" s="212"/>
      <c r="N4" s="95"/>
      <c r="O4" s="96"/>
      <c r="P4" s="96"/>
      <c r="Q4" s="48"/>
    </row>
    <row r="5" spans="2:17">
      <c r="C5" s="447" t="s">
        <v>208</v>
      </c>
      <c r="D5" s="448"/>
      <c r="E5" s="448"/>
      <c r="F5" s="448"/>
      <c r="G5" s="448"/>
      <c r="H5" s="206"/>
    </row>
    <row r="6" spans="2:17" ht="15">
      <c r="C6" s="282" t="s">
        <v>0</v>
      </c>
      <c r="D6" s="282" t="s">
        <v>1</v>
      </c>
      <c r="E6" s="282" t="s">
        <v>439</v>
      </c>
      <c r="F6" s="282" t="s">
        <v>440</v>
      </c>
      <c r="G6" s="282" t="s">
        <v>208</v>
      </c>
      <c r="H6" s="206"/>
    </row>
    <row r="7" spans="2:17" customFormat="1" ht="15">
      <c r="C7" s="315" t="s">
        <v>138</v>
      </c>
      <c r="D7" s="315" t="s">
        <v>140</v>
      </c>
      <c r="E7" s="316"/>
      <c r="F7" s="317"/>
      <c r="G7" s="315"/>
    </row>
    <row r="8" spans="2:17" customFormat="1" ht="15">
      <c r="C8" s="256" t="s">
        <v>137</v>
      </c>
      <c r="D8" s="256" t="s">
        <v>388</v>
      </c>
      <c r="E8" s="257" t="s">
        <v>136</v>
      </c>
      <c r="F8" s="258" t="s">
        <v>199</v>
      </c>
      <c r="G8" s="256" t="s">
        <v>591</v>
      </c>
    </row>
    <row r="9" spans="2:17" customFormat="1" ht="15">
      <c r="C9" s="315" t="s">
        <v>139</v>
      </c>
      <c r="D9" s="315" t="s">
        <v>444</v>
      </c>
      <c r="E9" s="316"/>
      <c r="F9" s="317"/>
      <c r="G9" s="315"/>
    </row>
    <row r="10" spans="2:17" customFormat="1" ht="51">
      <c r="C10" s="256" t="s">
        <v>141</v>
      </c>
      <c r="D10" s="256" t="s">
        <v>391</v>
      </c>
      <c r="E10" s="257" t="s">
        <v>133</v>
      </c>
      <c r="F10" s="258" t="s">
        <v>592</v>
      </c>
      <c r="G10" s="256" t="s">
        <v>593</v>
      </c>
    </row>
    <row r="11" spans="2:17" customFormat="1" ht="38.25">
      <c r="C11" s="256" t="s">
        <v>142</v>
      </c>
      <c r="D11" s="256" t="s">
        <v>754</v>
      </c>
      <c r="E11" s="257" t="s">
        <v>136</v>
      </c>
      <c r="F11" s="258" t="s">
        <v>594</v>
      </c>
      <c r="G11" s="256" t="s">
        <v>595</v>
      </c>
    </row>
    <row r="12" spans="2:17" customFormat="1" ht="25.5">
      <c r="C12" s="256" t="s">
        <v>267</v>
      </c>
      <c r="D12" s="256" t="s">
        <v>755</v>
      </c>
      <c r="E12" s="257" t="s">
        <v>136</v>
      </c>
      <c r="F12" s="258" t="s">
        <v>596</v>
      </c>
      <c r="G12" s="256" t="s">
        <v>597</v>
      </c>
    </row>
    <row r="13" spans="2:17" customFormat="1" ht="102">
      <c r="C13" s="256" t="s">
        <v>359</v>
      </c>
      <c r="D13" s="256" t="s">
        <v>392</v>
      </c>
      <c r="E13" s="257" t="s">
        <v>133</v>
      </c>
      <c r="F13" s="258" t="s">
        <v>598</v>
      </c>
      <c r="G13" s="256" t="s">
        <v>599</v>
      </c>
    </row>
    <row r="14" spans="2:17" customFormat="1" ht="102">
      <c r="C14" s="256" t="s">
        <v>360</v>
      </c>
      <c r="D14" s="256" t="s">
        <v>756</v>
      </c>
      <c r="E14" s="257" t="s">
        <v>133</v>
      </c>
      <c r="F14" s="258" t="s">
        <v>598</v>
      </c>
      <c r="G14" s="256" t="s">
        <v>599</v>
      </c>
    </row>
    <row r="15" spans="2:17" customFormat="1" ht="15">
      <c r="C15" s="315" t="s">
        <v>143</v>
      </c>
      <c r="D15" s="315" t="s">
        <v>448</v>
      </c>
      <c r="E15" s="316"/>
      <c r="F15" s="317"/>
      <c r="G15" s="315"/>
    </row>
    <row r="16" spans="2:17" customFormat="1" ht="51">
      <c r="C16" s="256" t="s">
        <v>144</v>
      </c>
      <c r="D16" s="256" t="s">
        <v>422</v>
      </c>
      <c r="E16" s="257" t="s">
        <v>133</v>
      </c>
      <c r="F16" s="258" t="s">
        <v>600</v>
      </c>
      <c r="G16" s="256" t="s">
        <v>601</v>
      </c>
    </row>
    <row r="17" spans="3:7" customFormat="1" ht="25.5">
      <c r="C17" s="256" t="s">
        <v>145</v>
      </c>
      <c r="D17" s="256" t="s">
        <v>395</v>
      </c>
      <c r="E17" s="257" t="s">
        <v>133</v>
      </c>
      <c r="F17" s="258" t="s">
        <v>600</v>
      </c>
      <c r="G17" s="256" t="s">
        <v>602</v>
      </c>
    </row>
    <row r="18" spans="3:7" customFormat="1" ht="63.75">
      <c r="C18" s="256" t="s">
        <v>147</v>
      </c>
      <c r="D18" s="256" t="s">
        <v>757</v>
      </c>
      <c r="E18" s="257" t="s">
        <v>136</v>
      </c>
      <c r="F18" s="258" t="s">
        <v>603</v>
      </c>
      <c r="G18" s="256" t="s">
        <v>604</v>
      </c>
    </row>
    <row r="19" spans="3:7" customFormat="1" ht="63.75">
      <c r="C19" s="256" t="s">
        <v>361</v>
      </c>
      <c r="D19" s="256" t="s">
        <v>394</v>
      </c>
      <c r="E19" s="257" t="s">
        <v>132</v>
      </c>
      <c r="F19" s="258" t="s">
        <v>605</v>
      </c>
      <c r="G19" s="256" t="s">
        <v>606</v>
      </c>
    </row>
    <row r="20" spans="3:7" customFormat="1" ht="25.5">
      <c r="C20" s="256" t="s">
        <v>450</v>
      </c>
      <c r="D20" s="256" t="s">
        <v>758</v>
      </c>
      <c r="E20" s="257" t="s">
        <v>133</v>
      </c>
      <c r="F20" s="258" t="s">
        <v>607</v>
      </c>
      <c r="G20" s="256" t="s">
        <v>608</v>
      </c>
    </row>
    <row r="21" spans="3:7" customFormat="1" ht="15">
      <c r="C21" s="315" t="s">
        <v>151</v>
      </c>
      <c r="D21" s="315" t="s">
        <v>452</v>
      </c>
      <c r="E21" s="316"/>
      <c r="F21" s="317"/>
      <c r="G21" s="315"/>
    </row>
    <row r="22" spans="3:7" customFormat="1" ht="76.5">
      <c r="C22" s="256" t="s">
        <v>148</v>
      </c>
      <c r="D22" s="256" t="s">
        <v>759</v>
      </c>
      <c r="E22" s="257" t="s">
        <v>136</v>
      </c>
      <c r="F22" s="258" t="s">
        <v>609</v>
      </c>
      <c r="G22" s="256" t="s">
        <v>610</v>
      </c>
    </row>
    <row r="23" spans="3:7" customFormat="1" ht="76.5">
      <c r="C23" s="256" t="s">
        <v>149</v>
      </c>
      <c r="D23" s="256" t="s">
        <v>404</v>
      </c>
      <c r="E23" s="257" t="s">
        <v>133</v>
      </c>
      <c r="F23" s="258" t="s">
        <v>611</v>
      </c>
      <c r="G23" s="256" t="s">
        <v>612</v>
      </c>
    </row>
    <row r="24" spans="3:7" customFormat="1" ht="76.5">
      <c r="C24" s="256" t="s">
        <v>150</v>
      </c>
      <c r="D24" s="256" t="s">
        <v>760</v>
      </c>
      <c r="E24" s="257" t="s">
        <v>136</v>
      </c>
      <c r="F24" s="258" t="s">
        <v>613</v>
      </c>
      <c r="G24" s="256" t="s">
        <v>614</v>
      </c>
    </row>
    <row r="25" spans="3:7" customFormat="1" ht="76.5">
      <c r="C25" s="256" t="s">
        <v>363</v>
      </c>
      <c r="D25" s="256" t="s">
        <v>761</v>
      </c>
      <c r="E25" s="257" t="s">
        <v>133</v>
      </c>
      <c r="F25" s="258" t="s">
        <v>615</v>
      </c>
      <c r="G25" s="256" t="s">
        <v>616</v>
      </c>
    </row>
    <row r="26" spans="3:7" customFormat="1" ht="76.5">
      <c r="C26" s="256" t="s">
        <v>456</v>
      </c>
      <c r="D26" s="256" t="s">
        <v>762</v>
      </c>
      <c r="E26" s="257" t="s">
        <v>136</v>
      </c>
      <c r="F26" s="258" t="s">
        <v>613</v>
      </c>
      <c r="G26" s="256" t="s">
        <v>617</v>
      </c>
    </row>
    <row r="27" spans="3:7" customFormat="1" ht="15">
      <c r="C27" s="315" t="s">
        <v>152</v>
      </c>
      <c r="D27" s="315" t="s">
        <v>458</v>
      </c>
      <c r="E27" s="316"/>
      <c r="F27" s="317"/>
      <c r="G27" s="315"/>
    </row>
    <row r="28" spans="3:7" customFormat="1" ht="25.5">
      <c r="C28" s="256" t="s">
        <v>153</v>
      </c>
      <c r="D28" s="256" t="s">
        <v>759</v>
      </c>
      <c r="E28" s="257" t="s">
        <v>136</v>
      </c>
      <c r="F28" s="258" t="s">
        <v>596</v>
      </c>
      <c r="G28" s="256" t="s">
        <v>618</v>
      </c>
    </row>
    <row r="29" spans="3:7" customFormat="1" ht="25.5">
      <c r="C29" s="256" t="s">
        <v>459</v>
      </c>
      <c r="D29" s="256" t="s">
        <v>404</v>
      </c>
      <c r="E29" s="257" t="s">
        <v>133</v>
      </c>
      <c r="F29" s="258" t="s">
        <v>619</v>
      </c>
      <c r="G29" s="256" t="s">
        <v>620</v>
      </c>
    </row>
    <row r="30" spans="3:7" customFormat="1" ht="25.5">
      <c r="C30" s="256" t="s">
        <v>460</v>
      </c>
      <c r="D30" s="256" t="s">
        <v>760</v>
      </c>
      <c r="E30" s="257" t="s">
        <v>136</v>
      </c>
      <c r="F30" s="258" t="s">
        <v>596</v>
      </c>
      <c r="G30" s="256" t="s">
        <v>621</v>
      </c>
    </row>
    <row r="31" spans="3:7" customFormat="1" ht="15">
      <c r="C31" s="256" t="s">
        <v>461</v>
      </c>
      <c r="D31" s="256" t="s">
        <v>761</v>
      </c>
      <c r="E31" s="257" t="s">
        <v>133</v>
      </c>
      <c r="F31" s="258" t="s">
        <v>619</v>
      </c>
      <c r="G31" s="256" t="s">
        <v>622</v>
      </c>
    </row>
    <row r="32" spans="3:7" customFormat="1" ht="15">
      <c r="C32" s="256" t="s">
        <v>462</v>
      </c>
      <c r="D32" s="256" t="s">
        <v>763</v>
      </c>
      <c r="E32" s="257" t="s">
        <v>136</v>
      </c>
      <c r="F32" s="258" t="s">
        <v>596</v>
      </c>
      <c r="G32" s="256" t="s">
        <v>623</v>
      </c>
    </row>
    <row r="33" spans="3:7" customFormat="1" ht="15">
      <c r="C33" s="315" t="s">
        <v>154</v>
      </c>
      <c r="D33" s="315" t="s">
        <v>464</v>
      </c>
      <c r="E33" s="316"/>
      <c r="F33" s="317"/>
      <c r="G33" s="315"/>
    </row>
    <row r="34" spans="3:7" customFormat="1" ht="25.5">
      <c r="C34" s="256" t="s">
        <v>155</v>
      </c>
      <c r="D34" s="256" t="s">
        <v>389</v>
      </c>
      <c r="E34" s="257" t="s">
        <v>358</v>
      </c>
      <c r="F34" s="258" t="s">
        <v>202</v>
      </c>
      <c r="G34" s="256" t="s">
        <v>624</v>
      </c>
    </row>
    <row r="35" spans="3:7" customFormat="1" ht="25.5">
      <c r="C35" s="256" t="s">
        <v>156</v>
      </c>
      <c r="D35" s="256" t="s">
        <v>764</v>
      </c>
      <c r="E35" s="257" t="s">
        <v>115</v>
      </c>
      <c r="F35" s="258" t="s">
        <v>201</v>
      </c>
      <c r="G35" s="256" t="s">
        <v>625</v>
      </c>
    </row>
    <row r="36" spans="3:7" customFormat="1" ht="38.25">
      <c r="C36" s="256" t="s">
        <v>157</v>
      </c>
      <c r="D36" s="256" t="s">
        <v>765</v>
      </c>
      <c r="E36" s="257" t="s">
        <v>115</v>
      </c>
      <c r="F36" s="258" t="s">
        <v>626</v>
      </c>
      <c r="G36" s="256" t="s">
        <v>627</v>
      </c>
    </row>
    <row r="37" spans="3:7" customFormat="1" ht="25.5">
      <c r="C37" s="256" t="s">
        <v>467</v>
      </c>
      <c r="D37" s="256" t="s">
        <v>766</v>
      </c>
      <c r="E37" s="257" t="s">
        <v>358</v>
      </c>
      <c r="F37" s="258" t="s">
        <v>202</v>
      </c>
      <c r="G37" s="256" t="s">
        <v>628</v>
      </c>
    </row>
    <row r="38" spans="3:7" customFormat="1" ht="15">
      <c r="C38" s="315" t="s">
        <v>158</v>
      </c>
      <c r="D38" s="315" t="s">
        <v>469</v>
      </c>
      <c r="E38" s="316"/>
      <c r="F38" s="317"/>
      <c r="G38" s="315"/>
    </row>
    <row r="39" spans="3:7" customFormat="1" ht="51">
      <c r="C39" s="256" t="s">
        <v>159</v>
      </c>
      <c r="D39" s="256" t="s">
        <v>767</v>
      </c>
      <c r="E39" s="257" t="s">
        <v>133</v>
      </c>
      <c r="F39" s="258" t="s">
        <v>629</v>
      </c>
      <c r="G39" s="256" t="s">
        <v>630</v>
      </c>
    </row>
    <row r="40" spans="3:7" customFormat="1" ht="38.25">
      <c r="C40" s="256" t="s">
        <v>160</v>
      </c>
      <c r="D40" s="256" t="s">
        <v>768</v>
      </c>
      <c r="E40" s="257" t="s">
        <v>136</v>
      </c>
      <c r="F40" s="258" t="s">
        <v>631</v>
      </c>
      <c r="G40" s="256" t="s">
        <v>632</v>
      </c>
    </row>
    <row r="41" spans="3:7" customFormat="1" ht="51">
      <c r="C41" s="256" t="s">
        <v>472</v>
      </c>
      <c r="D41" s="256" t="s">
        <v>394</v>
      </c>
      <c r="E41" s="257" t="s">
        <v>132</v>
      </c>
      <c r="F41" s="258" t="s">
        <v>633</v>
      </c>
      <c r="G41" s="256" t="s">
        <v>634</v>
      </c>
    </row>
    <row r="42" spans="3:7" customFormat="1" ht="25.5">
      <c r="C42" s="256" t="s">
        <v>473</v>
      </c>
      <c r="D42" s="256" t="s">
        <v>769</v>
      </c>
      <c r="E42" s="257" t="s">
        <v>132</v>
      </c>
      <c r="F42" s="258" t="s">
        <v>635</v>
      </c>
      <c r="G42" s="256" t="s">
        <v>636</v>
      </c>
    </row>
    <row r="43" spans="3:7" customFormat="1" ht="51">
      <c r="C43" s="256" t="s">
        <v>475</v>
      </c>
      <c r="D43" s="256" t="s">
        <v>393</v>
      </c>
      <c r="E43" s="257" t="s">
        <v>133</v>
      </c>
      <c r="F43" s="258" t="s">
        <v>637</v>
      </c>
      <c r="G43" s="256" t="s">
        <v>638</v>
      </c>
    </row>
    <row r="44" spans="3:7" customFormat="1" ht="38.25">
      <c r="C44" s="256" t="s">
        <v>476</v>
      </c>
      <c r="D44" s="256" t="s">
        <v>422</v>
      </c>
      <c r="E44" s="257" t="s">
        <v>133</v>
      </c>
      <c r="F44" s="258" t="s">
        <v>639</v>
      </c>
      <c r="G44" s="256" t="s">
        <v>640</v>
      </c>
    </row>
    <row r="45" spans="3:7" customFormat="1" ht="25.5">
      <c r="C45" s="256" t="s">
        <v>477</v>
      </c>
      <c r="D45" s="256" t="s">
        <v>395</v>
      </c>
      <c r="E45" s="257" t="s">
        <v>133</v>
      </c>
      <c r="F45" s="258" t="s">
        <v>639</v>
      </c>
      <c r="G45" s="256" t="s">
        <v>641</v>
      </c>
    </row>
    <row r="46" spans="3:7" customFormat="1" ht="38.25">
      <c r="C46" s="256" t="s">
        <v>478</v>
      </c>
      <c r="D46" s="256" t="s">
        <v>421</v>
      </c>
      <c r="E46" s="257" t="s">
        <v>133</v>
      </c>
      <c r="F46" s="258" t="s">
        <v>642</v>
      </c>
      <c r="G46" s="256" t="s">
        <v>643</v>
      </c>
    </row>
    <row r="47" spans="3:7" customFormat="1" ht="38.25">
      <c r="C47" s="256" t="s">
        <v>479</v>
      </c>
      <c r="D47" s="256" t="s">
        <v>396</v>
      </c>
      <c r="E47" s="257" t="s">
        <v>136</v>
      </c>
      <c r="F47" s="258" t="s">
        <v>631</v>
      </c>
      <c r="G47" s="256" t="s">
        <v>644</v>
      </c>
    </row>
    <row r="48" spans="3:7" customFormat="1" ht="15">
      <c r="C48" s="315" t="s">
        <v>161</v>
      </c>
      <c r="D48" s="315" t="s">
        <v>480</v>
      </c>
      <c r="E48" s="316"/>
      <c r="F48" s="317"/>
      <c r="G48" s="315"/>
    </row>
    <row r="49" spans="3:7" customFormat="1" ht="344.25">
      <c r="C49" s="256" t="s">
        <v>162</v>
      </c>
      <c r="D49" s="256" t="s">
        <v>768</v>
      </c>
      <c r="E49" s="257" t="s">
        <v>136</v>
      </c>
      <c r="F49" s="258" t="s">
        <v>645</v>
      </c>
      <c r="G49" s="256" t="s">
        <v>646</v>
      </c>
    </row>
    <row r="50" spans="3:7" customFormat="1" ht="38.25">
      <c r="C50" s="256" t="s">
        <v>163</v>
      </c>
      <c r="D50" s="256" t="s">
        <v>394</v>
      </c>
      <c r="E50" s="257" t="s">
        <v>132</v>
      </c>
      <c r="F50" s="258" t="s">
        <v>647</v>
      </c>
      <c r="G50" s="256" t="s">
        <v>648</v>
      </c>
    </row>
    <row r="51" spans="3:7" customFormat="1" ht="25.5">
      <c r="C51" s="256" t="s">
        <v>481</v>
      </c>
      <c r="D51" s="256" t="s">
        <v>769</v>
      </c>
      <c r="E51" s="257" t="s">
        <v>132</v>
      </c>
      <c r="F51" s="258" t="s">
        <v>649</v>
      </c>
      <c r="G51" s="256" t="s">
        <v>650</v>
      </c>
    </row>
    <row r="52" spans="3:7" customFormat="1" ht="51">
      <c r="C52" s="256" t="s">
        <v>482</v>
      </c>
      <c r="D52" s="256" t="s">
        <v>422</v>
      </c>
      <c r="E52" s="257" t="s">
        <v>133</v>
      </c>
      <c r="F52" s="258" t="s">
        <v>651</v>
      </c>
      <c r="G52" s="256" t="s">
        <v>652</v>
      </c>
    </row>
    <row r="53" spans="3:7" customFormat="1" ht="25.5">
      <c r="C53" s="256" t="s">
        <v>483</v>
      </c>
      <c r="D53" s="256" t="s">
        <v>395</v>
      </c>
      <c r="E53" s="257" t="s">
        <v>133</v>
      </c>
      <c r="F53" s="258" t="s">
        <v>651</v>
      </c>
      <c r="G53" s="256" t="s">
        <v>653</v>
      </c>
    </row>
    <row r="54" spans="3:7" customFormat="1" ht="76.5">
      <c r="C54" s="256" t="s">
        <v>484</v>
      </c>
      <c r="D54" s="256" t="s">
        <v>770</v>
      </c>
      <c r="E54" s="257" t="s">
        <v>136</v>
      </c>
      <c r="F54" s="258" t="s">
        <v>654</v>
      </c>
      <c r="G54" s="256" t="s">
        <v>655</v>
      </c>
    </row>
    <row r="55" spans="3:7" customFormat="1" ht="38.25">
      <c r="C55" s="256" t="s">
        <v>486</v>
      </c>
      <c r="D55" s="256" t="s">
        <v>400</v>
      </c>
      <c r="E55" s="257" t="s">
        <v>136</v>
      </c>
      <c r="F55" s="258" t="s">
        <v>656</v>
      </c>
      <c r="G55" s="256" t="s">
        <v>657</v>
      </c>
    </row>
    <row r="56" spans="3:7" customFormat="1" ht="25.5">
      <c r="C56" s="256" t="s">
        <v>487</v>
      </c>
      <c r="D56" s="256" t="s">
        <v>401</v>
      </c>
      <c r="E56" s="257" t="s">
        <v>132</v>
      </c>
      <c r="F56" s="258" t="s">
        <v>658</v>
      </c>
      <c r="G56" s="256" t="s">
        <v>659</v>
      </c>
    </row>
    <row r="57" spans="3:7" customFormat="1" ht="15">
      <c r="C57" s="315" t="s">
        <v>164</v>
      </c>
      <c r="D57" s="315" t="s">
        <v>488</v>
      </c>
      <c r="E57" s="316"/>
      <c r="F57" s="317"/>
      <c r="G57" s="315"/>
    </row>
    <row r="58" spans="3:7" customFormat="1" ht="38.25">
      <c r="C58" s="256" t="s">
        <v>165</v>
      </c>
      <c r="D58" s="256" t="s">
        <v>771</v>
      </c>
      <c r="E58" s="257" t="s">
        <v>133</v>
      </c>
      <c r="F58" s="258" t="s">
        <v>660</v>
      </c>
      <c r="G58" s="256" t="s">
        <v>661</v>
      </c>
    </row>
    <row r="59" spans="3:7" customFormat="1" ht="38.25">
      <c r="C59" s="256" t="s">
        <v>268</v>
      </c>
      <c r="D59" s="256" t="s">
        <v>403</v>
      </c>
      <c r="E59" s="257" t="s">
        <v>136</v>
      </c>
      <c r="F59" s="258" t="s">
        <v>662</v>
      </c>
      <c r="G59" s="256" t="s">
        <v>663</v>
      </c>
    </row>
    <row r="60" spans="3:7" customFormat="1" ht="51">
      <c r="C60" s="256" t="s">
        <v>269</v>
      </c>
      <c r="D60" s="256" t="s">
        <v>393</v>
      </c>
      <c r="E60" s="257" t="s">
        <v>133</v>
      </c>
      <c r="F60" s="258" t="s">
        <v>664</v>
      </c>
      <c r="G60" s="256" t="s">
        <v>665</v>
      </c>
    </row>
    <row r="61" spans="3:7" customFormat="1" ht="38.25">
      <c r="C61" s="256" t="s">
        <v>366</v>
      </c>
      <c r="D61" s="256" t="s">
        <v>772</v>
      </c>
      <c r="E61" s="257" t="s">
        <v>133</v>
      </c>
      <c r="F61" s="258" t="s">
        <v>660</v>
      </c>
      <c r="G61" s="256" t="s">
        <v>666</v>
      </c>
    </row>
    <row r="62" spans="3:7" customFormat="1" ht="38.25">
      <c r="C62" s="256" t="s">
        <v>367</v>
      </c>
      <c r="D62" s="256" t="s">
        <v>404</v>
      </c>
      <c r="E62" s="257" t="s">
        <v>133</v>
      </c>
      <c r="F62" s="258" t="s">
        <v>651</v>
      </c>
      <c r="G62" s="256" t="s">
        <v>667</v>
      </c>
    </row>
    <row r="63" spans="3:7" customFormat="1" ht="15">
      <c r="C63" s="315" t="s">
        <v>166</v>
      </c>
      <c r="D63" s="315" t="s">
        <v>490</v>
      </c>
      <c r="E63" s="316"/>
      <c r="F63" s="317"/>
      <c r="G63" s="315"/>
    </row>
    <row r="64" spans="3:7" customFormat="1" ht="25.5">
      <c r="C64" s="256" t="s">
        <v>167</v>
      </c>
      <c r="D64" s="256" t="s">
        <v>773</v>
      </c>
      <c r="E64" s="257" t="s">
        <v>136</v>
      </c>
      <c r="F64" s="258" t="s">
        <v>668</v>
      </c>
      <c r="G64" s="256" t="s">
        <v>669</v>
      </c>
    </row>
    <row r="65" spans="3:7" customFormat="1" ht="76.5">
      <c r="C65" s="256" t="s">
        <v>168</v>
      </c>
      <c r="D65" s="256" t="s">
        <v>774</v>
      </c>
      <c r="E65" s="257" t="s">
        <v>136</v>
      </c>
      <c r="F65" s="258" t="s">
        <v>670</v>
      </c>
      <c r="G65" s="256" t="s">
        <v>671</v>
      </c>
    </row>
    <row r="66" spans="3:7" customFormat="1" ht="76.5">
      <c r="C66" s="256" t="s">
        <v>493</v>
      </c>
      <c r="D66" s="256" t="s">
        <v>775</v>
      </c>
      <c r="E66" s="257" t="s">
        <v>133</v>
      </c>
      <c r="F66" s="258" t="s">
        <v>672</v>
      </c>
      <c r="G66" s="256" t="s">
        <v>673</v>
      </c>
    </row>
    <row r="67" spans="3:7" customFormat="1" ht="15">
      <c r="C67" s="315" t="s">
        <v>169</v>
      </c>
      <c r="D67" s="315" t="s">
        <v>495</v>
      </c>
      <c r="E67" s="316"/>
      <c r="F67" s="317"/>
      <c r="G67" s="315"/>
    </row>
    <row r="68" spans="3:7" customFormat="1" ht="15">
      <c r="C68" s="256" t="s">
        <v>170</v>
      </c>
      <c r="D68" s="256" t="s">
        <v>431</v>
      </c>
      <c r="E68" s="257" t="s">
        <v>25</v>
      </c>
      <c r="F68" s="258" t="s">
        <v>207</v>
      </c>
      <c r="G68" s="256" t="s">
        <v>674</v>
      </c>
    </row>
    <row r="69" spans="3:7" customFormat="1" ht="38.25">
      <c r="C69" s="256" t="s">
        <v>496</v>
      </c>
      <c r="D69" s="256" t="s">
        <v>402</v>
      </c>
      <c r="E69" s="257" t="s">
        <v>115</v>
      </c>
      <c r="F69" s="258" t="s">
        <v>675</v>
      </c>
      <c r="G69" s="256" t="s">
        <v>676</v>
      </c>
    </row>
    <row r="70" spans="3:7" customFormat="1" ht="25.5">
      <c r="C70" s="256" t="s">
        <v>497</v>
      </c>
      <c r="D70" s="256" t="s">
        <v>430</v>
      </c>
      <c r="E70" s="257" t="s">
        <v>115</v>
      </c>
      <c r="F70" s="258" t="s">
        <v>198</v>
      </c>
      <c r="G70" s="256" t="s">
        <v>677</v>
      </c>
    </row>
    <row r="71" spans="3:7" customFormat="1" ht="38.25">
      <c r="C71" s="256" t="s">
        <v>498</v>
      </c>
      <c r="D71" s="256" t="s">
        <v>499</v>
      </c>
      <c r="E71" s="257" t="s">
        <v>25</v>
      </c>
      <c r="F71" s="258" t="s">
        <v>200</v>
      </c>
      <c r="G71" s="256" t="s">
        <v>678</v>
      </c>
    </row>
    <row r="72" spans="3:7" customFormat="1" ht="25.5">
      <c r="C72" s="256" t="s">
        <v>501</v>
      </c>
      <c r="D72" s="256" t="s">
        <v>397</v>
      </c>
      <c r="E72" s="257" t="s">
        <v>132</v>
      </c>
      <c r="F72" s="258" t="s">
        <v>679</v>
      </c>
      <c r="G72" s="256" t="s">
        <v>680</v>
      </c>
    </row>
    <row r="73" spans="3:7" customFormat="1" ht="25.5">
      <c r="C73" s="256" t="s">
        <v>502</v>
      </c>
      <c r="D73" s="256" t="s">
        <v>398</v>
      </c>
      <c r="E73" s="257" t="s">
        <v>136</v>
      </c>
      <c r="F73" s="258" t="s">
        <v>681</v>
      </c>
      <c r="G73" s="256" t="s">
        <v>682</v>
      </c>
    </row>
    <row r="74" spans="3:7" customFormat="1" ht="15">
      <c r="C74" s="256" t="s">
        <v>503</v>
      </c>
      <c r="D74" s="256" t="s">
        <v>399</v>
      </c>
      <c r="E74" s="257" t="s">
        <v>136</v>
      </c>
      <c r="F74" s="258" t="s">
        <v>681</v>
      </c>
      <c r="G74" s="256" t="s">
        <v>683</v>
      </c>
    </row>
    <row r="75" spans="3:7" customFormat="1" ht="38.25">
      <c r="C75" s="256" t="s">
        <v>504</v>
      </c>
      <c r="D75" s="256" t="s">
        <v>776</v>
      </c>
      <c r="E75" s="257" t="s">
        <v>136</v>
      </c>
      <c r="F75" s="258" t="s">
        <v>681</v>
      </c>
      <c r="G75" s="256" t="s">
        <v>684</v>
      </c>
    </row>
    <row r="76" spans="3:7" customFormat="1" ht="15">
      <c r="C76" s="315" t="s">
        <v>171</v>
      </c>
      <c r="D76" s="315" t="s">
        <v>506</v>
      </c>
      <c r="E76" s="316"/>
      <c r="F76" s="317"/>
      <c r="G76" s="315"/>
    </row>
    <row r="77" spans="3:7" customFormat="1" ht="38.25">
      <c r="C77" s="256" t="s">
        <v>172</v>
      </c>
      <c r="D77" s="256" t="s">
        <v>405</v>
      </c>
      <c r="E77" s="257" t="s">
        <v>136</v>
      </c>
      <c r="F77" s="258" t="s">
        <v>685</v>
      </c>
      <c r="G77" s="256" t="s">
        <v>686</v>
      </c>
    </row>
    <row r="78" spans="3:7" customFormat="1" ht="38.25">
      <c r="C78" s="256" t="s">
        <v>173</v>
      </c>
      <c r="D78" s="256" t="s">
        <v>406</v>
      </c>
      <c r="E78" s="257" t="s">
        <v>136</v>
      </c>
      <c r="F78" s="258" t="s">
        <v>685</v>
      </c>
      <c r="G78" s="256" t="s">
        <v>687</v>
      </c>
    </row>
    <row r="79" spans="3:7" customFormat="1" ht="38.25">
      <c r="C79" s="256" t="s">
        <v>370</v>
      </c>
      <c r="D79" s="256" t="s">
        <v>762</v>
      </c>
      <c r="E79" s="257" t="s">
        <v>136</v>
      </c>
      <c r="F79" s="258" t="s">
        <v>670</v>
      </c>
      <c r="G79" s="256" t="s">
        <v>688</v>
      </c>
    </row>
    <row r="80" spans="3:7" customFormat="1" ht="38.25">
      <c r="C80" s="256" t="s">
        <v>820</v>
      </c>
      <c r="D80" s="256" t="s">
        <v>507</v>
      </c>
      <c r="E80" s="257" t="s">
        <v>136</v>
      </c>
      <c r="F80" s="258" t="s">
        <v>689</v>
      </c>
      <c r="G80" s="256" t="s">
        <v>690</v>
      </c>
    </row>
    <row r="81" spans="3:7" customFormat="1" ht="38.25">
      <c r="C81" s="256" t="s">
        <v>821</v>
      </c>
      <c r="D81" s="256" t="s">
        <v>777</v>
      </c>
      <c r="E81" s="257" t="s">
        <v>136</v>
      </c>
      <c r="F81" s="258" t="s">
        <v>691</v>
      </c>
      <c r="G81" s="256" t="s">
        <v>692</v>
      </c>
    </row>
    <row r="82" spans="3:7" customFormat="1" ht="15">
      <c r="C82" s="315" t="s">
        <v>174</v>
      </c>
      <c r="D82" s="315" t="s">
        <v>511</v>
      </c>
      <c r="E82" s="316"/>
      <c r="F82" s="317"/>
      <c r="G82" s="315"/>
    </row>
    <row r="83" spans="3:7" customFormat="1" ht="38.25">
      <c r="C83" s="256" t="s">
        <v>175</v>
      </c>
      <c r="D83" s="256" t="s">
        <v>778</v>
      </c>
      <c r="E83" s="257" t="s">
        <v>136</v>
      </c>
      <c r="F83" s="258" t="s">
        <v>693</v>
      </c>
      <c r="G83" s="256" t="s">
        <v>694</v>
      </c>
    </row>
    <row r="84" spans="3:7" customFormat="1" ht="38.25">
      <c r="C84" s="256" t="s">
        <v>176</v>
      </c>
      <c r="D84" s="256" t="s">
        <v>779</v>
      </c>
      <c r="E84" s="257" t="s">
        <v>136</v>
      </c>
      <c r="F84" s="258" t="s">
        <v>695</v>
      </c>
      <c r="G84" s="256" t="s">
        <v>696</v>
      </c>
    </row>
    <row r="85" spans="3:7" customFormat="1" ht="15">
      <c r="C85" s="256" t="s">
        <v>177</v>
      </c>
      <c r="D85" s="256" t="s">
        <v>780</v>
      </c>
      <c r="E85" s="257" t="s">
        <v>136</v>
      </c>
      <c r="F85" s="258" t="s">
        <v>697</v>
      </c>
      <c r="G85" s="256" t="s">
        <v>698</v>
      </c>
    </row>
    <row r="86" spans="3:7" customFormat="1" ht="15">
      <c r="C86" s="256" t="s">
        <v>178</v>
      </c>
      <c r="D86" s="256" t="s">
        <v>781</v>
      </c>
      <c r="E86" s="257" t="s">
        <v>115</v>
      </c>
      <c r="F86" s="258" t="s">
        <v>206</v>
      </c>
      <c r="G86" s="256" t="s">
        <v>699</v>
      </c>
    </row>
    <row r="87" spans="3:7" customFormat="1" ht="15">
      <c r="C87" s="315" t="s">
        <v>179</v>
      </c>
      <c r="D87" s="315" t="s">
        <v>516</v>
      </c>
      <c r="E87" s="316"/>
      <c r="F87" s="317"/>
      <c r="G87" s="315"/>
    </row>
    <row r="88" spans="3:7" customFormat="1" ht="15">
      <c r="C88" s="256" t="s">
        <v>180</v>
      </c>
      <c r="D88" s="256" t="s">
        <v>782</v>
      </c>
      <c r="E88" s="257" t="s">
        <v>136</v>
      </c>
      <c r="F88" s="258" t="s">
        <v>207</v>
      </c>
      <c r="G88" s="256" t="s">
        <v>700</v>
      </c>
    </row>
    <row r="89" spans="3:7" customFormat="1" ht="15">
      <c r="C89" s="256" t="s">
        <v>181</v>
      </c>
      <c r="D89" s="256" t="s">
        <v>411</v>
      </c>
      <c r="E89" s="257" t="s">
        <v>25</v>
      </c>
      <c r="F89" s="258" t="s">
        <v>203</v>
      </c>
      <c r="G89" s="256" t="s">
        <v>433</v>
      </c>
    </row>
    <row r="90" spans="3:7" customFormat="1" ht="25.5">
      <c r="C90" s="256" t="s">
        <v>374</v>
      </c>
      <c r="D90" s="256" t="s">
        <v>412</v>
      </c>
      <c r="E90" s="257" t="s">
        <v>25</v>
      </c>
      <c r="F90" s="258" t="s">
        <v>203</v>
      </c>
      <c r="G90" s="256" t="s">
        <v>701</v>
      </c>
    </row>
    <row r="91" spans="3:7" customFormat="1" ht="25.5">
      <c r="C91" s="256" t="s">
        <v>375</v>
      </c>
      <c r="D91" s="256" t="s">
        <v>408</v>
      </c>
      <c r="E91" s="257" t="s">
        <v>136</v>
      </c>
      <c r="F91" s="258" t="s">
        <v>702</v>
      </c>
      <c r="G91" s="256" t="s">
        <v>703</v>
      </c>
    </row>
    <row r="92" spans="3:7" customFormat="1" ht="25.5">
      <c r="C92" s="256" t="s">
        <v>518</v>
      </c>
      <c r="D92" s="256" t="s">
        <v>407</v>
      </c>
      <c r="E92" s="257" t="s">
        <v>185</v>
      </c>
      <c r="F92" s="258" t="s">
        <v>203</v>
      </c>
      <c r="G92" s="256" t="s">
        <v>704</v>
      </c>
    </row>
    <row r="93" spans="3:7" customFormat="1" ht="15">
      <c r="C93" s="256" t="s">
        <v>519</v>
      </c>
      <c r="D93" s="256" t="s">
        <v>783</v>
      </c>
      <c r="E93" s="257" t="s">
        <v>25</v>
      </c>
      <c r="F93" s="258" t="s">
        <v>203</v>
      </c>
      <c r="G93" s="256" t="s">
        <v>705</v>
      </c>
    </row>
    <row r="94" spans="3:7" customFormat="1" ht="15">
      <c r="C94" s="256" t="s">
        <v>521</v>
      </c>
      <c r="D94" s="256" t="s">
        <v>409</v>
      </c>
      <c r="E94" s="257" t="s">
        <v>25</v>
      </c>
      <c r="F94" s="258" t="s">
        <v>203</v>
      </c>
      <c r="G94" s="256" t="s">
        <v>706</v>
      </c>
    </row>
    <row r="95" spans="3:7" customFormat="1" ht="15">
      <c r="C95" s="256" t="s">
        <v>522</v>
      </c>
      <c r="D95" s="256" t="s">
        <v>413</v>
      </c>
      <c r="E95" s="257" t="s">
        <v>25</v>
      </c>
      <c r="F95" s="258" t="s">
        <v>203</v>
      </c>
      <c r="G95" s="256" t="s">
        <v>707</v>
      </c>
    </row>
    <row r="96" spans="3:7" customFormat="1" ht="15">
      <c r="C96" s="256" t="s">
        <v>523</v>
      </c>
      <c r="D96" s="256" t="s">
        <v>784</v>
      </c>
      <c r="E96" s="257" t="s">
        <v>136</v>
      </c>
      <c r="F96" s="258" t="s">
        <v>708</v>
      </c>
      <c r="G96" s="256" t="s">
        <v>709</v>
      </c>
    </row>
    <row r="97" spans="3:7" customFormat="1" ht="25.5">
      <c r="C97" s="256" t="s">
        <v>525</v>
      </c>
      <c r="D97" s="256" t="s">
        <v>785</v>
      </c>
      <c r="E97" s="257" t="s">
        <v>25</v>
      </c>
      <c r="F97" s="258" t="s">
        <v>203</v>
      </c>
      <c r="G97" s="256" t="s">
        <v>434</v>
      </c>
    </row>
    <row r="98" spans="3:7" customFormat="1" ht="25.5">
      <c r="C98" s="256" t="s">
        <v>527</v>
      </c>
      <c r="D98" s="256" t="s">
        <v>786</v>
      </c>
      <c r="E98" s="257" t="s">
        <v>25</v>
      </c>
      <c r="F98" s="258" t="s">
        <v>203</v>
      </c>
      <c r="G98" s="256" t="s">
        <v>710</v>
      </c>
    </row>
    <row r="99" spans="3:7" customFormat="1" ht="25.5">
      <c r="C99" s="256" t="s">
        <v>529</v>
      </c>
      <c r="D99" s="256" t="s">
        <v>787</v>
      </c>
      <c r="E99" s="257" t="s">
        <v>25</v>
      </c>
      <c r="F99" s="258" t="s">
        <v>203</v>
      </c>
      <c r="G99" s="256" t="s">
        <v>711</v>
      </c>
    </row>
    <row r="100" spans="3:7" customFormat="1" ht="15">
      <c r="C100" s="256" t="s">
        <v>531</v>
      </c>
      <c r="D100" s="256" t="s">
        <v>788</v>
      </c>
      <c r="E100" s="257" t="s">
        <v>25</v>
      </c>
      <c r="F100" s="258" t="s">
        <v>202</v>
      </c>
      <c r="G100" s="256" t="s">
        <v>712</v>
      </c>
    </row>
    <row r="101" spans="3:7" customFormat="1" ht="15">
      <c r="C101" s="256" t="s">
        <v>533</v>
      </c>
      <c r="D101" s="256" t="s">
        <v>789</v>
      </c>
      <c r="E101" s="257" t="s">
        <v>25</v>
      </c>
      <c r="F101" s="258" t="s">
        <v>203</v>
      </c>
      <c r="G101" s="256" t="s">
        <v>713</v>
      </c>
    </row>
    <row r="102" spans="3:7" customFormat="1" ht="15">
      <c r="C102" s="256" t="s">
        <v>535</v>
      </c>
      <c r="D102" s="256" t="s">
        <v>410</v>
      </c>
      <c r="E102" s="257" t="s">
        <v>25</v>
      </c>
      <c r="F102" s="258" t="s">
        <v>203</v>
      </c>
      <c r="G102" s="256" t="s">
        <v>432</v>
      </c>
    </row>
    <row r="103" spans="3:7" customFormat="1" ht="25.5">
      <c r="C103" s="256" t="s">
        <v>536</v>
      </c>
      <c r="D103" s="256" t="s">
        <v>790</v>
      </c>
      <c r="E103" s="257" t="s">
        <v>25</v>
      </c>
      <c r="F103" s="258" t="s">
        <v>203</v>
      </c>
      <c r="G103" s="256" t="s">
        <v>714</v>
      </c>
    </row>
    <row r="104" spans="3:7" customFormat="1" ht="15">
      <c r="C104" s="315" t="s">
        <v>182</v>
      </c>
      <c r="D104" s="315" t="s">
        <v>538</v>
      </c>
      <c r="E104" s="316"/>
      <c r="F104" s="317"/>
      <c r="G104" s="315"/>
    </row>
    <row r="105" spans="3:7" customFormat="1" ht="15">
      <c r="C105" s="256" t="s">
        <v>183</v>
      </c>
      <c r="D105" s="256" t="s">
        <v>539</v>
      </c>
      <c r="E105" s="257" t="s">
        <v>25</v>
      </c>
      <c r="F105" s="258" t="s">
        <v>202</v>
      </c>
      <c r="G105" s="256" t="s">
        <v>715</v>
      </c>
    </row>
    <row r="106" spans="3:7" customFormat="1" ht="15">
      <c r="C106" s="256" t="s">
        <v>184</v>
      </c>
      <c r="D106" s="256" t="s">
        <v>540</v>
      </c>
      <c r="E106" s="257" t="s">
        <v>25</v>
      </c>
      <c r="F106" s="258" t="s">
        <v>202</v>
      </c>
      <c r="G106" s="256" t="s">
        <v>716</v>
      </c>
    </row>
    <row r="107" spans="3:7" customFormat="1" ht="15">
      <c r="C107" s="315" t="s">
        <v>187</v>
      </c>
      <c r="D107" s="315" t="s">
        <v>541</v>
      </c>
      <c r="E107" s="316"/>
      <c r="F107" s="317"/>
      <c r="G107" s="315"/>
    </row>
    <row r="108" spans="3:7" customFormat="1" ht="25.5">
      <c r="C108" s="256" t="s">
        <v>188</v>
      </c>
      <c r="D108" s="256" t="s">
        <v>423</v>
      </c>
      <c r="E108" s="257" t="s">
        <v>115</v>
      </c>
      <c r="F108" s="258" t="s">
        <v>435</v>
      </c>
      <c r="G108" s="256" t="s">
        <v>717</v>
      </c>
    </row>
    <row r="109" spans="3:7" customFormat="1" ht="25.5">
      <c r="C109" s="256" t="s">
        <v>377</v>
      </c>
      <c r="D109" s="256" t="s">
        <v>791</v>
      </c>
      <c r="E109" s="257" t="s">
        <v>115</v>
      </c>
      <c r="F109" s="258" t="s">
        <v>718</v>
      </c>
      <c r="G109" s="256" t="s">
        <v>719</v>
      </c>
    </row>
    <row r="110" spans="3:7" customFormat="1" ht="25.5">
      <c r="C110" s="256" t="s">
        <v>378</v>
      </c>
      <c r="D110" s="256" t="s">
        <v>424</v>
      </c>
      <c r="E110" s="257" t="s">
        <v>115</v>
      </c>
      <c r="F110" s="258" t="s">
        <v>720</v>
      </c>
      <c r="G110" s="256" t="s">
        <v>721</v>
      </c>
    </row>
    <row r="111" spans="3:7" customFormat="1" ht="25.5">
      <c r="C111" s="256" t="s">
        <v>379</v>
      </c>
      <c r="D111" s="256" t="s">
        <v>425</v>
      </c>
      <c r="E111" s="257" t="s">
        <v>115</v>
      </c>
      <c r="F111" s="258" t="s">
        <v>197</v>
      </c>
      <c r="G111" s="256" t="s">
        <v>722</v>
      </c>
    </row>
    <row r="112" spans="3:7" customFormat="1" ht="25.5">
      <c r="C112" s="256" t="s">
        <v>380</v>
      </c>
      <c r="D112" s="256" t="s">
        <v>426</v>
      </c>
      <c r="E112" s="257" t="s">
        <v>115</v>
      </c>
      <c r="F112" s="258" t="s">
        <v>720</v>
      </c>
      <c r="G112" s="256" t="s">
        <v>723</v>
      </c>
    </row>
    <row r="113" spans="3:7" customFormat="1" ht="25.5">
      <c r="C113" s="256" t="s">
        <v>381</v>
      </c>
      <c r="D113" s="256" t="s">
        <v>792</v>
      </c>
      <c r="E113" s="257" t="s">
        <v>25</v>
      </c>
      <c r="F113" s="258" t="s">
        <v>203</v>
      </c>
      <c r="G113" s="256" t="s">
        <v>724</v>
      </c>
    </row>
    <row r="114" spans="3:7" customFormat="1" ht="15">
      <c r="C114" s="256" t="s">
        <v>544</v>
      </c>
      <c r="D114" s="256" t="s">
        <v>793</v>
      </c>
      <c r="E114" s="257" t="s">
        <v>25</v>
      </c>
      <c r="F114" s="258" t="s">
        <v>203</v>
      </c>
      <c r="G114" s="256" t="s">
        <v>810</v>
      </c>
    </row>
    <row r="115" spans="3:7" customFormat="1" ht="15">
      <c r="C115" s="315" t="s">
        <v>189</v>
      </c>
      <c r="D115" s="315" t="s">
        <v>546</v>
      </c>
      <c r="E115" s="316"/>
      <c r="F115" s="317"/>
      <c r="G115" s="315"/>
    </row>
    <row r="116" spans="3:7" customFormat="1" ht="38.25">
      <c r="C116" s="256" t="s">
        <v>190</v>
      </c>
      <c r="D116" s="256" t="s">
        <v>428</v>
      </c>
      <c r="E116" s="257" t="s">
        <v>115</v>
      </c>
      <c r="F116" s="258" t="s">
        <v>200</v>
      </c>
      <c r="G116" s="256" t="s">
        <v>725</v>
      </c>
    </row>
    <row r="117" spans="3:7" customFormat="1" ht="38.25">
      <c r="C117" s="256" t="s">
        <v>191</v>
      </c>
      <c r="D117" s="256" t="s">
        <v>427</v>
      </c>
      <c r="E117" s="257" t="s">
        <v>115</v>
      </c>
      <c r="F117" s="258" t="s">
        <v>271</v>
      </c>
      <c r="G117" s="256" t="s">
        <v>726</v>
      </c>
    </row>
    <row r="118" spans="3:7" customFormat="1" ht="25.5">
      <c r="C118" s="256" t="s">
        <v>192</v>
      </c>
      <c r="D118" s="256" t="s">
        <v>429</v>
      </c>
      <c r="E118" s="257" t="s">
        <v>115</v>
      </c>
      <c r="F118" s="258" t="s">
        <v>720</v>
      </c>
      <c r="G118" s="256" t="s">
        <v>727</v>
      </c>
    </row>
    <row r="119" spans="3:7" customFormat="1" ht="15">
      <c r="C119" s="256" t="s">
        <v>547</v>
      </c>
      <c r="D119" s="256" t="s">
        <v>794</v>
      </c>
      <c r="E119" s="257" t="s">
        <v>25</v>
      </c>
      <c r="F119" s="258" t="s">
        <v>207</v>
      </c>
      <c r="G119" s="256" t="s">
        <v>728</v>
      </c>
    </row>
    <row r="120" spans="3:7" customFormat="1" ht="38.25">
      <c r="C120" s="256" t="s">
        <v>549</v>
      </c>
      <c r="D120" s="256" t="s">
        <v>550</v>
      </c>
      <c r="E120" s="257" t="s">
        <v>25</v>
      </c>
      <c r="F120" s="258" t="s">
        <v>207</v>
      </c>
      <c r="G120" s="256" t="s">
        <v>729</v>
      </c>
    </row>
    <row r="121" spans="3:7" customFormat="1" ht="15">
      <c r="C121" s="315" t="s">
        <v>193</v>
      </c>
      <c r="D121" s="315" t="s">
        <v>186</v>
      </c>
      <c r="E121" s="316"/>
      <c r="F121" s="317"/>
      <c r="G121" s="315"/>
    </row>
    <row r="122" spans="3:7" customFormat="1" ht="15">
      <c r="C122" s="256" t="s">
        <v>194</v>
      </c>
      <c r="D122" s="256" t="s">
        <v>418</v>
      </c>
      <c r="E122" s="257" t="s">
        <v>25</v>
      </c>
      <c r="F122" s="258" t="s">
        <v>205</v>
      </c>
      <c r="G122" s="256" t="s">
        <v>730</v>
      </c>
    </row>
    <row r="123" spans="3:7" customFormat="1" ht="15">
      <c r="C123" s="256" t="s">
        <v>552</v>
      </c>
      <c r="D123" s="256" t="s">
        <v>414</v>
      </c>
      <c r="E123" s="257" t="s">
        <v>185</v>
      </c>
      <c r="F123" s="258" t="s">
        <v>200</v>
      </c>
      <c r="G123" s="256" t="s">
        <v>731</v>
      </c>
    </row>
    <row r="124" spans="3:7" customFormat="1" ht="15">
      <c r="C124" s="256" t="s">
        <v>553</v>
      </c>
      <c r="D124" s="256" t="s">
        <v>415</v>
      </c>
      <c r="E124" s="257" t="s">
        <v>185</v>
      </c>
      <c r="F124" s="258" t="s">
        <v>200</v>
      </c>
      <c r="G124" s="256" t="s">
        <v>732</v>
      </c>
    </row>
    <row r="125" spans="3:7" customFormat="1" ht="15">
      <c r="C125" s="256" t="s">
        <v>554</v>
      </c>
      <c r="D125" s="256" t="s">
        <v>417</v>
      </c>
      <c r="E125" s="257" t="s">
        <v>25</v>
      </c>
      <c r="F125" s="258" t="s">
        <v>200</v>
      </c>
      <c r="G125" s="256" t="s">
        <v>733</v>
      </c>
    </row>
    <row r="126" spans="3:7" customFormat="1" ht="25.5">
      <c r="C126" s="256" t="s">
        <v>555</v>
      </c>
      <c r="D126" s="256" t="s">
        <v>795</v>
      </c>
      <c r="E126" s="257" t="s">
        <v>115</v>
      </c>
      <c r="F126" s="258" t="s">
        <v>270</v>
      </c>
      <c r="G126" s="256" t="s">
        <v>734</v>
      </c>
    </row>
    <row r="127" spans="3:7" customFormat="1" ht="25.5">
      <c r="C127" s="256" t="s">
        <v>557</v>
      </c>
      <c r="D127" s="256" t="s">
        <v>796</v>
      </c>
      <c r="E127" s="257" t="s">
        <v>115</v>
      </c>
      <c r="F127" s="258" t="s">
        <v>270</v>
      </c>
      <c r="G127" s="256" t="s">
        <v>735</v>
      </c>
    </row>
    <row r="128" spans="3:7" customFormat="1" ht="25.5">
      <c r="C128" s="256" t="s">
        <v>559</v>
      </c>
      <c r="D128" s="256" t="s">
        <v>797</v>
      </c>
      <c r="E128" s="257" t="s">
        <v>115</v>
      </c>
      <c r="F128" s="258" t="s">
        <v>270</v>
      </c>
      <c r="G128" s="256" t="s">
        <v>736</v>
      </c>
    </row>
    <row r="129" spans="3:7" customFormat="1" ht="25.5">
      <c r="C129" s="256" t="s">
        <v>561</v>
      </c>
      <c r="D129" s="256" t="s">
        <v>798</v>
      </c>
      <c r="E129" s="257" t="s">
        <v>115</v>
      </c>
      <c r="F129" s="258" t="s">
        <v>436</v>
      </c>
      <c r="G129" s="256" t="s">
        <v>737</v>
      </c>
    </row>
    <row r="130" spans="3:7" customFormat="1" ht="25.5">
      <c r="C130" s="256" t="s">
        <v>563</v>
      </c>
      <c r="D130" s="256" t="s">
        <v>799</v>
      </c>
      <c r="E130" s="257" t="s">
        <v>115</v>
      </c>
      <c r="F130" s="258" t="s">
        <v>436</v>
      </c>
      <c r="G130" s="256" t="s">
        <v>738</v>
      </c>
    </row>
    <row r="131" spans="3:7" customFormat="1" ht="25.5">
      <c r="C131" s="256" t="s">
        <v>565</v>
      </c>
      <c r="D131" s="256" t="s">
        <v>800</v>
      </c>
      <c r="E131" s="257" t="s">
        <v>25</v>
      </c>
      <c r="F131" s="258" t="s">
        <v>202</v>
      </c>
      <c r="G131" s="256" t="s">
        <v>739</v>
      </c>
    </row>
    <row r="132" spans="3:7" customFormat="1" ht="25.5">
      <c r="C132" s="256" t="s">
        <v>567</v>
      </c>
      <c r="D132" s="256" t="s">
        <v>801</v>
      </c>
      <c r="E132" s="257" t="s">
        <v>25</v>
      </c>
      <c r="F132" s="258" t="s">
        <v>203</v>
      </c>
      <c r="G132" s="256" t="s">
        <v>740</v>
      </c>
    </row>
    <row r="133" spans="3:7" customFormat="1" ht="25.5">
      <c r="C133" s="256" t="s">
        <v>569</v>
      </c>
      <c r="D133" s="256" t="s">
        <v>416</v>
      </c>
      <c r="E133" s="257" t="s">
        <v>25</v>
      </c>
      <c r="F133" s="258" t="s">
        <v>207</v>
      </c>
      <c r="G133" s="256" t="s">
        <v>741</v>
      </c>
    </row>
    <row r="134" spans="3:7" customFormat="1" ht="25.5">
      <c r="C134" s="256" t="s">
        <v>570</v>
      </c>
      <c r="D134" s="256" t="s">
        <v>802</v>
      </c>
      <c r="E134" s="257" t="s">
        <v>25</v>
      </c>
      <c r="F134" s="258" t="s">
        <v>207</v>
      </c>
      <c r="G134" s="256" t="s">
        <v>742</v>
      </c>
    </row>
    <row r="135" spans="3:7" customFormat="1" ht="15">
      <c r="C135" s="256" t="s">
        <v>572</v>
      </c>
      <c r="D135" s="256" t="s">
        <v>803</v>
      </c>
      <c r="E135" s="257" t="s">
        <v>25</v>
      </c>
      <c r="F135" s="258" t="s">
        <v>202</v>
      </c>
      <c r="G135" s="256" t="s">
        <v>743</v>
      </c>
    </row>
    <row r="136" spans="3:7" customFormat="1" ht="25.5">
      <c r="C136" s="256" t="s">
        <v>574</v>
      </c>
      <c r="D136" s="256" t="s">
        <v>419</v>
      </c>
      <c r="E136" s="257" t="s">
        <v>115</v>
      </c>
      <c r="F136" s="258" t="s">
        <v>270</v>
      </c>
      <c r="G136" s="256" t="s">
        <v>744</v>
      </c>
    </row>
    <row r="137" spans="3:7" customFormat="1" ht="25.5">
      <c r="C137" s="256" t="s">
        <v>575</v>
      </c>
      <c r="D137" s="256" t="s">
        <v>804</v>
      </c>
      <c r="E137" s="257" t="s">
        <v>115</v>
      </c>
      <c r="F137" s="258" t="s">
        <v>271</v>
      </c>
      <c r="G137" s="256" t="s">
        <v>745</v>
      </c>
    </row>
    <row r="138" spans="3:7" customFormat="1" ht="25.5">
      <c r="C138" s="256" t="s">
        <v>577</v>
      </c>
      <c r="D138" s="256" t="s">
        <v>420</v>
      </c>
      <c r="E138" s="257" t="s">
        <v>115</v>
      </c>
      <c r="F138" s="258" t="s">
        <v>271</v>
      </c>
      <c r="G138" s="256" t="s">
        <v>746</v>
      </c>
    </row>
    <row r="139" spans="3:7" customFormat="1" ht="25.5">
      <c r="C139" s="256" t="s">
        <v>578</v>
      </c>
      <c r="D139" s="256" t="s">
        <v>805</v>
      </c>
      <c r="E139" s="257" t="s">
        <v>25</v>
      </c>
      <c r="F139" s="258" t="s">
        <v>202</v>
      </c>
      <c r="G139" s="256" t="s">
        <v>747</v>
      </c>
    </row>
    <row r="140" spans="3:7" customFormat="1" ht="15">
      <c r="C140" s="256" t="s">
        <v>580</v>
      </c>
      <c r="D140" s="256" t="s">
        <v>806</v>
      </c>
      <c r="E140" s="257" t="s">
        <v>25</v>
      </c>
      <c r="F140" s="258" t="s">
        <v>202</v>
      </c>
      <c r="G140" s="256" t="s">
        <v>748</v>
      </c>
    </row>
    <row r="141" spans="3:7" customFormat="1" ht="15">
      <c r="C141" s="256" t="s">
        <v>582</v>
      </c>
      <c r="D141" s="256" t="s">
        <v>807</v>
      </c>
      <c r="E141" s="257" t="s">
        <v>115</v>
      </c>
      <c r="F141" s="258" t="s">
        <v>204</v>
      </c>
      <c r="G141" s="256" t="s">
        <v>749</v>
      </c>
    </row>
    <row r="142" spans="3:7" customFormat="1" ht="25.5">
      <c r="C142" s="256" t="s">
        <v>584</v>
      </c>
      <c r="D142" s="256" t="s">
        <v>808</v>
      </c>
      <c r="E142" s="257" t="s">
        <v>25</v>
      </c>
      <c r="F142" s="258" t="s">
        <v>207</v>
      </c>
      <c r="G142" s="256" t="s">
        <v>750</v>
      </c>
    </row>
    <row r="143" spans="3:7" customFormat="1" ht="38.25">
      <c r="C143" s="256" t="s">
        <v>586</v>
      </c>
      <c r="D143" s="256" t="s">
        <v>809</v>
      </c>
      <c r="E143" s="257" t="s">
        <v>25</v>
      </c>
      <c r="F143" s="258" t="s">
        <v>200</v>
      </c>
      <c r="G143" s="256" t="s">
        <v>751</v>
      </c>
    </row>
    <row r="144" spans="3:7" customFormat="1" ht="15">
      <c r="C144" s="315" t="s">
        <v>195</v>
      </c>
      <c r="D144" s="315" t="s">
        <v>588</v>
      </c>
      <c r="E144" s="316"/>
      <c r="F144" s="317"/>
      <c r="G144" s="315"/>
    </row>
    <row r="145" spans="3:7" customFormat="1" ht="25.5">
      <c r="C145" s="256" t="s">
        <v>196</v>
      </c>
      <c r="D145" s="256" t="s">
        <v>279</v>
      </c>
      <c r="E145" s="257" t="s">
        <v>136</v>
      </c>
      <c r="F145" s="258" t="s">
        <v>752</v>
      </c>
      <c r="G145" s="256" t="s">
        <v>753</v>
      </c>
    </row>
    <row r="146" spans="3:7" customFormat="1" ht="15">
      <c r="C146" s="205"/>
      <c r="D146" s="205"/>
      <c r="E146" s="205"/>
      <c r="F146" s="205"/>
      <c r="G146" s="205"/>
    </row>
    <row r="147" spans="3:7" customFormat="1" ht="15">
      <c r="C147" s="205"/>
      <c r="D147" s="205"/>
      <c r="E147" s="205"/>
      <c r="F147" s="205"/>
      <c r="G147" s="205"/>
    </row>
    <row r="148" spans="3:7" customFormat="1" ht="15">
      <c r="C148" s="205"/>
      <c r="D148" s="205"/>
      <c r="E148" s="205"/>
      <c r="F148" s="205"/>
      <c r="G148" s="205"/>
    </row>
    <row r="149" spans="3:7" customFormat="1" ht="15">
      <c r="C149" s="205"/>
      <c r="D149" s="205"/>
      <c r="E149" s="205"/>
      <c r="F149" s="205"/>
      <c r="G149" s="205"/>
    </row>
  </sheetData>
  <mergeCells count="3">
    <mergeCell ref="C2:G2"/>
    <mergeCell ref="C1:G1"/>
    <mergeCell ref="C5:G5"/>
  </mergeCells>
  <pageMargins left="0.51181102362204722" right="0.51181102362204722" top="0.98425196850393704" bottom="0.98425196850393704" header="0.51181102362204722" footer="0.51181102362204722"/>
  <pageSetup paperSize="9" scale="76" fitToHeight="0" orientation="landscape" r:id="rId1"/>
  <headerFooter>
    <oddFooter>&amp;L&amp;D&amp;CPágina &amp;P&amp;R&amp;F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48</vt:i4>
      </vt:variant>
    </vt:vector>
  </HeadingPairs>
  <TitlesOfParts>
    <vt:vector size="58" baseType="lpstr">
      <vt:lpstr>DADOS</vt:lpstr>
      <vt:lpstr>BDI</vt:lpstr>
      <vt:lpstr>BDI DIF</vt:lpstr>
      <vt:lpstr>REFERÊNCIAS</vt:lpstr>
      <vt:lpstr>PLANILHA</vt:lpstr>
      <vt:lpstr>CRONOGRAMA</vt:lpstr>
      <vt:lpstr>COMPOSIÇÕES</vt:lpstr>
      <vt:lpstr>COTAÇÕES</vt:lpstr>
      <vt:lpstr>MEMÓRIA</vt:lpstr>
      <vt:lpstr>DADOS E VALIDAÇÕES (ocultar)</vt:lpstr>
      <vt:lpstr>BDI!Area_de_impressao</vt:lpstr>
      <vt:lpstr>'BDI DIF'!Area_de_impressao</vt:lpstr>
      <vt:lpstr>COMPOSIÇÕES!Area_de_impressao</vt:lpstr>
      <vt:lpstr>COTAÇÕES!Area_de_impressao</vt:lpstr>
      <vt:lpstr>CRONOGRAMA!Area_de_impressao</vt:lpstr>
      <vt:lpstr>DADOS!Area_de_impressao</vt:lpstr>
      <vt:lpstr>MEMÓRIA!Area_de_impressao</vt:lpstr>
      <vt:lpstr>PLANILHA!Area_de_impressao</vt:lpstr>
      <vt:lpstr>ART_RRT</vt:lpstr>
      <vt:lpstr>BASE_EDIF</vt:lpstr>
      <vt:lpstr>BASE_EDIF_INFRA</vt:lpstr>
      <vt:lpstr>BASE_SINAPI</vt:lpstr>
      <vt:lpstr>BASE_SINAPI_I</vt:lpstr>
      <vt:lpstr>BDI</vt:lpstr>
      <vt:lpstr>BOOLEANA</vt:lpstr>
      <vt:lpstr>CAU_CREA</vt:lpstr>
      <vt:lpstr>CUSTOS_ANALITICO</vt:lpstr>
      <vt:lpstr>LISTA_SECRETARIAS</vt:lpstr>
      <vt:lpstr>LOCAL</vt:lpstr>
      <vt:lpstr>OBJETO</vt:lpstr>
      <vt:lpstr>PLAN_COMP_SINAPI</vt:lpstr>
      <vt:lpstr>PLAN_INS_EDIF</vt:lpstr>
      <vt:lpstr>PLAN_INS_INFRA</vt:lpstr>
      <vt:lpstr>PLAN_INS_SINAPI</vt:lpstr>
      <vt:lpstr>PLAN_SERV_EDIF</vt:lpstr>
      <vt:lpstr>PLAN_SERV_INFRA</vt:lpstr>
      <vt:lpstr>PRECOS_INS_EDIF</vt:lpstr>
      <vt:lpstr>PRECOS_INS_INFRA</vt:lpstr>
      <vt:lpstr>PRECOS_INSUMOS</vt:lpstr>
      <vt:lpstr>PRECOS_SERV_EDIF</vt:lpstr>
      <vt:lpstr>PRECOS_SERV_INFRA</vt:lpstr>
      <vt:lpstr>BDI!Print_Area</vt:lpstr>
      <vt:lpstr>'BDI DIF'!Print_Area</vt:lpstr>
      <vt:lpstr>PROC_LICITATÓRIO</vt:lpstr>
      <vt:lpstr>PROCESSO</vt:lpstr>
      <vt:lpstr>PROJETISTA</vt:lpstr>
      <vt:lpstr>PROPOSTA</vt:lpstr>
      <vt:lpstr>REFERÊNCIA_CAD</vt:lpstr>
      <vt:lpstr>REVISÃO</vt:lpstr>
      <vt:lpstr>SECRETARIA_REQUISITANTE</vt:lpstr>
      <vt:lpstr>Sigilo</vt:lpstr>
      <vt:lpstr>SIM_NÃO</vt:lpstr>
      <vt:lpstr>TIPO_LIC</vt:lpstr>
      <vt:lpstr>'BDI DIF'!tipoobra</vt:lpstr>
      <vt:lpstr>tipoobra</vt:lpstr>
      <vt:lpstr>CRONOGRAMA!Titulos_de_impressao</vt:lpstr>
      <vt:lpstr>PLANILHA!Titulos_de_impressao</vt:lpstr>
      <vt:lpstr>X</vt:lpstr>
    </vt:vector>
  </TitlesOfParts>
  <Company>Emc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Santos</dc:creator>
  <cp:lastModifiedBy>caio</cp:lastModifiedBy>
  <cp:lastPrinted>2021-12-20T10:54:45Z</cp:lastPrinted>
  <dcterms:created xsi:type="dcterms:W3CDTF">2017-07-04T20:14:59Z</dcterms:created>
  <dcterms:modified xsi:type="dcterms:W3CDTF">2022-04-05T14:55:22Z</dcterms:modified>
</cp:coreProperties>
</file>