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0" yWindow="0" windowWidth="20730" windowHeight="11760" tabRatio="851"/>
  </bookViews>
  <sheets>
    <sheet name="OBRAS E SERVIÇOS" sheetId="86" r:id="rId1"/>
    <sheet name="MAQUINARIOS E EQUIPAMENTOS" sheetId="79" r:id="rId2"/>
    <sheet name="Itens de Relevancia" sheetId="91" r:id="rId3"/>
    <sheet name="Cronograma  GERAL" sheetId="90" r:id="rId4"/>
  </sheets>
  <externalReferences>
    <externalReference r:id="rId5"/>
    <externalReference r:id="rId6"/>
    <externalReference r:id="rId7"/>
    <externalReference r:id="rId8"/>
  </externalReferences>
  <definedNames>
    <definedName name="__shared_1_0_0" localSheetId="3">#REF!</definedName>
    <definedName name="__shared_1_0_0" localSheetId="2">#REF!</definedName>
    <definedName name="__shared_1_0_0" localSheetId="0">#REF!</definedName>
    <definedName name="__shared_1_0_0">#REF!</definedName>
    <definedName name="__shared_1_0_1">#N/A</definedName>
    <definedName name="__shared_1_0_10">#N/A</definedName>
    <definedName name="__shared_1_0_100">#N/A</definedName>
    <definedName name="__shared_1_0_101">#N/A</definedName>
    <definedName name="__shared_1_0_102">#N/A</definedName>
    <definedName name="__shared_1_0_103">#N/A</definedName>
    <definedName name="__shared_1_0_104">#N/A</definedName>
    <definedName name="__shared_1_0_105">#N/A</definedName>
    <definedName name="__shared_1_0_106">#N/A</definedName>
    <definedName name="__shared_1_0_107">#N/A</definedName>
    <definedName name="__shared_1_0_108">#N/A</definedName>
    <definedName name="__shared_1_0_109">#N/A</definedName>
    <definedName name="__shared_1_0_11" localSheetId="3">#REF!</definedName>
    <definedName name="__shared_1_0_11" localSheetId="2">#REF!</definedName>
    <definedName name="__shared_1_0_11" localSheetId="0">#REF!</definedName>
    <definedName name="__shared_1_0_11">#REF!</definedName>
    <definedName name="__shared_1_0_110">#N/A</definedName>
    <definedName name="__shared_1_0_111">#N/A</definedName>
    <definedName name="__shared_1_0_112">#N/A</definedName>
    <definedName name="__shared_1_0_113">#N/A</definedName>
    <definedName name="__shared_1_0_114">#N/A</definedName>
    <definedName name="__shared_1_0_115">#N/A</definedName>
    <definedName name="__shared_1_0_116">#N/A</definedName>
    <definedName name="__shared_1_0_117">#N/A</definedName>
    <definedName name="__shared_1_0_118">#N/A</definedName>
    <definedName name="__shared_1_0_119">#N/A</definedName>
    <definedName name="__shared_1_0_12">#N/A</definedName>
    <definedName name="__shared_1_0_120">#N/A</definedName>
    <definedName name="__shared_1_0_121">#N/A</definedName>
    <definedName name="__shared_1_0_122" localSheetId="3">#REF!</definedName>
    <definedName name="__shared_1_0_122" localSheetId="2">#REF!</definedName>
    <definedName name="__shared_1_0_122" localSheetId="0">#REF!</definedName>
    <definedName name="__shared_1_0_122">#REF!</definedName>
    <definedName name="__shared_1_0_123">#N/A</definedName>
    <definedName name="__shared_1_0_124">#N/A</definedName>
    <definedName name="__shared_1_0_125">#N/A</definedName>
    <definedName name="__shared_1_0_126">#N/A</definedName>
    <definedName name="__shared_1_0_127">#N/A</definedName>
    <definedName name="__shared_1_0_128">#N/A</definedName>
    <definedName name="__shared_1_0_129">#N/A</definedName>
    <definedName name="__shared_1_0_13">#N/A</definedName>
    <definedName name="__shared_1_0_130">#N/A</definedName>
    <definedName name="__shared_1_0_131">#N/A</definedName>
    <definedName name="__shared_1_0_132">#N/A</definedName>
    <definedName name="__shared_1_0_133">#N/A</definedName>
    <definedName name="__shared_1_0_134">#N/A</definedName>
    <definedName name="__shared_1_0_135">#N/A</definedName>
    <definedName name="__shared_1_0_136">#N/A</definedName>
    <definedName name="__shared_1_0_137">#N/A</definedName>
    <definedName name="__shared_1_0_138">#N/A</definedName>
    <definedName name="__shared_1_0_139" localSheetId="3">#REF!</definedName>
    <definedName name="__shared_1_0_139" localSheetId="2">#REF!</definedName>
    <definedName name="__shared_1_0_139" localSheetId="0">#REF!</definedName>
    <definedName name="__shared_1_0_139">#REF!</definedName>
    <definedName name="__shared_1_0_14">#N/A</definedName>
    <definedName name="__shared_1_0_140">#N/A</definedName>
    <definedName name="__shared_1_0_141">#N/A</definedName>
    <definedName name="__shared_1_0_142">#N/A</definedName>
    <definedName name="__shared_1_0_143">#N/A</definedName>
    <definedName name="__shared_1_0_144">#N/A</definedName>
    <definedName name="__shared_1_0_145">#N/A</definedName>
    <definedName name="__shared_1_0_146">#N/A</definedName>
    <definedName name="__shared_1_0_147">#N/A</definedName>
    <definedName name="__shared_1_0_148">#N/A</definedName>
    <definedName name="__shared_1_0_149">#N/A</definedName>
    <definedName name="__shared_1_0_15">#N/A</definedName>
    <definedName name="__shared_1_0_150">#N/A</definedName>
    <definedName name="__shared_1_0_151" localSheetId="3">#REF!</definedName>
    <definedName name="__shared_1_0_151" localSheetId="2">#REF!</definedName>
    <definedName name="__shared_1_0_151" localSheetId="0">#REF!</definedName>
    <definedName name="__shared_1_0_151">#REF!</definedName>
    <definedName name="__shared_1_0_152">#N/A</definedName>
    <definedName name="__shared_1_0_153">#N/A</definedName>
    <definedName name="__shared_1_0_154">#N/A</definedName>
    <definedName name="__shared_1_0_155">#N/A</definedName>
    <definedName name="__shared_1_0_156">#N/A</definedName>
    <definedName name="__shared_1_0_157">#N/A</definedName>
    <definedName name="__shared_1_0_158">#N/A</definedName>
    <definedName name="__shared_1_0_159">#N/A</definedName>
    <definedName name="__shared_1_0_16">#N/A</definedName>
    <definedName name="__shared_1_0_160">#N/A</definedName>
    <definedName name="__shared_1_0_161">#N/A</definedName>
    <definedName name="__shared_1_0_162">#N/A</definedName>
    <definedName name="__shared_1_0_163" localSheetId="3">#REF!</definedName>
    <definedName name="__shared_1_0_163" localSheetId="2">#REF!</definedName>
    <definedName name="__shared_1_0_163" localSheetId="0">#REF!</definedName>
    <definedName name="__shared_1_0_163">#REF!</definedName>
    <definedName name="__shared_1_0_164">#N/A</definedName>
    <definedName name="__shared_1_0_165">#N/A</definedName>
    <definedName name="__shared_1_0_166">#N/A</definedName>
    <definedName name="__shared_1_0_167">#N/A</definedName>
    <definedName name="__shared_1_0_168">#N/A</definedName>
    <definedName name="__shared_1_0_169">#N/A</definedName>
    <definedName name="__shared_1_0_17">#N/A</definedName>
    <definedName name="__shared_1_0_170">#N/A</definedName>
    <definedName name="__shared_1_0_171">#N/A</definedName>
    <definedName name="__shared_1_0_172">#N/A</definedName>
    <definedName name="__shared_1_0_173">#N/A</definedName>
    <definedName name="__shared_1_0_174">#N/A</definedName>
    <definedName name="__shared_1_0_175">#N/A</definedName>
    <definedName name="__shared_1_0_176" localSheetId="3">#REF!</definedName>
    <definedName name="__shared_1_0_176" localSheetId="2">#REF!</definedName>
    <definedName name="__shared_1_0_176" localSheetId="0">#REF!</definedName>
    <definedName name="__shared_1_0_176">#REF!</definedName>
    <definedName name="__shared_1_0_177">#N/A</definedName>
    <definedName name="__shared_1_0_178">#N/A</definedName>
    <definedName name="__shared_1_0_179">#N/A</definedName>
    <definedName name="__shared_1_0_18">#N/A</definedName>
    <definedName name="__shared_1_0_180">#N/A</definedName>
    <definedName name="__shared_1_0_181">#N/A</definedName>
    <definedName name="__shared_1_0_182">#N/A</definedName>
    <definedName name="__shared_1_0_183">#N/A</definedName>
    <definedName name="__shared_1_0_184">#N/A</definedName>
    <definedName name="__shared_1_0_185">#N/A</definedName>
    <definedName name="__shared_1_0_186">#N/A</definedName>
    <definedName name="__shared_1_0_187" localSheetId="3">#REF!</definedName>
    <definedName name="__shared_1_0_187" localSheetId="2">#REF!</definedName>
    <definedName name="__shared_1_0_187" localSheetId="0">#REF!</definedName>
    <definedName name="__shared_1_0_187">#REF!</definedName>
    <definedName name="__shared_1_0_188">#N/A</definedName>
    <definedName name="__shared_1_0_189">#N/A</definedName>
    <definedName name="__shared_1_0_19">#N/A</definedName>
    <definedName name="__shared_1_0_190">#N/A</definedName>
    <definedName name="__shared_1_0_191">#N/A</definedName>
    <definedName name="__shared_1_0_192">#N/A</definedName>
    <definedName name="__shared_1_0_193">#N/A</definedName>
    <definedName name="__shared_1_0_194">#N/A</definedName>
    <definedName name="__shared_1_0_195">#N/A</definedName>
    <definedName name="__shared_1_0_196">#N/A</definedName>
    <definedName name="__shared_1_0_197">#N/A</definedName>
    <definedName name="__shared_1_0_198" localSheetId="3">#REF!</definedName>
    <definedName name="__shared_1_0_198" localSheetId="2">#REF!</definedName>
    <definedName name="__shared_1_0_198" localSheetId="0">#REF!</definedName>
    <definedName name="__shared_1_0_198">#REF!</definedName>
    <definedName name="__shared_1_0_199">#N/A</definedName>
    <definedName name="__shared_1_0_2">#N/A</definedName>
    <definedName name="__shared_1_0_20">#N/A</definedName>
    <definedName name="__shared_1_0_200">#N/A</definedName>
    <definedName name="__shared_1_0_201">#N/A</definedName>
    <definedName name="__shared_1_0_202">#N/A</definedName>
    <definedName name="__shared_1_0_203">#N/A</definedName>
    <definedName name="__shared_1_0_204">#N/A</definedName>
    <definedName name="__shared_1_0_205">#N/A</definedName>
    <definedName name="__shared_1_0_206">#N/A</definedName>
    <definedName name="__shared_1_0_207">#N/A</definedName>
    <definedName name="__shared_1_0_208">#N/A</definedName>
    <definedName name="__shared_1_0_209" localSheetId="3">#REF!</definedName>
    <definedName name="__shared_1_0_209" localSheetId="2">#REF!</definedName>
    <definedName name="__shared_1_0_209" localSheetId="0">#REF!</definedName>
    <definedName name="__shared_1_0_209">#REF!</definedName>
    <definedName name="__shared_1_0_21">#N/A</definedName>
    <definedName name="__shared_1_0_210">#N/A</definedName>
    <definedName name="__shared_1_0_211">#N/A</definedName>
    <definedName name="__shared_1_0_212">#N/A</definedName>
    <definedName name="__shared_1_0_213">#N/A</definedName>
    <definedName name="__shared_1_0_214">#N/A</definedName>
    <definedName name="__shared_1_0_215">#N/A</definedName>
    <definedName name="__shared_1_0_216">#N/A</definedName>
    <definedName name="__shared_1_0_217">#N/A</definedName>
    <definedName name="__shared_1_0_218">#N/A</definedName>
    <definedName name="__shared_1_0_219">#N/A</definedName>
    <definedName name="__shared_1_0_22" localSheetId="3">#REF!</definedName>
    <definedName name="__shared_1_0_22" localSheetId="2">#REF!</definedName>
    <definedName name="__shared_1_0_22" localSheetId="0">#REF!</definedName>
    <definedName name="__shared_1_0_22">#REF!</definedName>
    <definedName name="__shared_1_0_220" localSheetId="3">#REF!</definedName>
    <definedName name="__shared_1_0_220" localSheetId="2">#REF!</definedName>
    <definedName name="__shared_1_0_220" localSheetId="0">#REF!</definedName>
    <definedName name="__shared_1_0_220">#REF!</definedName>
    <definedName name="__shared_1_0_221">#N/A</definedName>
    <definedName name="__shared_1_0_222">#N/A</definedName>
    <definedName name="__shared_1_0_223">#N/A</definedName>
    <definedName name="__shared_1_0_224">#N/A</definedName>
    <definedName name="__shared_1_0_225">#N/A</definedName>
    <definedName name="__shared_1_0_226">#N/A</definedName>
    <definedName name="__shared_1_0_227">#N/A</definedName>
    <definedName name="__shared_1_0_228">#N/A</definedName>
    <definedName name="__shared_1_0_229">#N/A</definedName>
    <definedName name="__shared_1_0_23">#N/A</definedName>
    <definedName name="__shared_1_0_230">#N/A</definedName>
    <definedName name="__shared_1_0_231">#N/A</definedName>
    <definedName name="__shared_1_0_232" localSheetId="3">#REF!</definedName>
    <definedName name="__shared_1_0_232" localSheetId="2">#REF!</definedName>
    <definedName name="__shared_1_0_232" localSheetId="0">#REF!</definedName>
    <definedName name="__shared_1_0_232">#REF!</definedName>
    <definedName name="__shared_1_0_233">#N/A</definedName>
    <definedName name="__shared_1_0_234">#N/A</definedName>
    <definedName name="__shared_1_0_235">#N/A</definedName>
    <definedName name="__shared_1_0_236">#N/A</definedName>
    <definedName name="__shared_1_0_237">#N/A</definedName>
    <definedName name="__shared_1_0_238">#N/A</definedName>
    <definedName name="__shared_1_0_239">#N/A</definedName>
    <definedName name="__shared_1_0_24">#N/A</definedName>
    <definedName name="__shared_1_0_240">#N/A</definedName>
    <definedName name="__shared_1_0_241">#N/A</definedName>
    <definedName name="__shared_1_0_242">#N/A</definedName>
    <definedName name="__shared_1_0_243" localSheetId="3">#REF!</definedName>
    <definedName name="__shared_1_0_243" localSheetId="2">#REF!</definedName>
    <definedName name="__shared_1_0_243" localSheetId="0">#REF!</definedName>
    <definedName name="__shared_1_0_243">#REF!</definedName>
    <definedName name="__shared_1_0_244">#N/A</definedName>
    <definedName name="__shared_1_0_245">#N/A</definedName>
    <definedName name="__shared_1_0_246">#N/A</definedName>
    <definedName name="__shared_1_0_247">#N/A</definedName>
    <definedName name="__shared_1_0_248">#N/A</definedName>
    <definedName name="__shared_1_0_249">#N/A</definedName>
    <definedName name="__shared_1_0_25">#N/A</definedName>
    <definedName name="__shared_1_0_250">#N/A</definedName>
    <definedName name="__shared_1_0_251">#N/A</definedName>
    <definedName name="__shared_1_0_252">#N/A</definedName>
    <definedName name="__shared_1_0_253">#N/A</definedName>
    <definedName name="__shared_1_0_254" localSheetId="3">#REF!</definedName>
    <definedName name="__shared_1_0_254" localSheetId="2">#REF!</definedName>
    <definedName name="__shared_1_0_254" localSheetId="0">#REF!</definedName>
    <definedName name="__shared_1_0_254">#REF!</definedName>
    <definedName name="__shared_1_0_255">#N/A</definedName>
    <definedName name="__shared_1_0_256">#N/A</definedName>
    <definedName name="__shared_1_0_257">#N/A</definedName>
    <definedName name="__shared_1_0_258">#N/A</definedName>
    <definedName name="__shared_1_0_259">#N/A</definedName>
    <definedName name="__shared_1_0_26">#N/A</definedName>
    <definedName name="__shared_1_0_260">#N/A</definedName>
    <definedName name="__shared_1_0_261">#N/A</definedName>
    <definedName name="__shared_1_0_262">#N/A</definedName>
    <definedName name="__shared_1_0_263">#N/A</definedName>
    <definedName name="__shared_1_0_264">#N/A</definedName>
    <definedName name="__shared_1_0_265" localSheetId="3">#REF!</definedName>
    <definedName name="__shared_1_0_265" localSheetId="2">#REF!</definedName>
    <definedName name="__shared_1_0_265" localSheetId="0">#REF!</definedName>
    <definedName name="__shared_1_0_265">#REF!</definedName>
    <definedName name="__shared_1_0_266">#N/A</definedName>
    <definedName name="__shared_1_0_267">#N/A</definedName>
    <definedName name="__shared_1_0_268">#N/A</definedName>
    <definedName name="__shared_1_0_269">#N/A</definedName>
    <definedName name="__shared_1_0_27">#N/A</definedName>
    <definedName name="__shared_1_0_270">#N/A</definedName>
    <definedName name="__shared_1_0_271">#N/A</definedName>
    <definedName name="__shared_1_0_272">#N/A</definedName>
    <definedName name="__shared_1_0_273">#N/A</definedName>
    <definedName name="__shared_1_0_274">#N/A</definedName>
    <definedName name="__shared_1_0_275">#N/A</definedName>
    <definedName name="__shared_1_0_276" localSheetId="3">#REF!</definedName>
    <definedName name="__shared_1_0_276" localSheetId="2">#REF!</definedName>
    <definedName name="__shared_1_0_276" localSheetId="0">#REF!</definedName>
    <definedName name="__shared_1_0_276">#REF!</definedName>
    <definedName name="__shared_1_0_277">#N/A</definedName>
    <definedName name="__shared_1_0_278">#N/A</definedName>
    <definedName name="__shared_1_0_279">#N/A</definedName>
    <definedName name="__shared_1_0_28">#N/A</definedName>
    <definedName name="__shared_1_0_280">#N/A</definedName>
    <definedName name="__shared_1_0_281">#N/A</definedName>
    <definedName name="__shared_1_0_282">#N/A</definedName>
    <definedName name="__shared_1_0_283">#N/A</definedName>
    <definedName name="__shared_1_0_284">#N/A</definedName>
    <definedName name="__shared_1_0_285">#N/A</definedName>
    <definedName name="__shared_1_0_286">#N/A</definedName>
    <definedName name="__shared_1_0_287" localSheetId="3">#REF!</definedName>
    <definedName name="__shared_1_0_287" localSheetId="2">#REF!</definedName>
    <definedName name="__shared_1_0_287" localSheetId="0">#REF!</definedName>
    <definedName name="__shared_1_0_287">#REF!</definedName>
    <definedName name="__shared_1_0_288">#N/A</definedName>
    <definedName name="__shared_1_0_289">#N/A</definedName>
    <definedName name="__shared_1_0_29">#N/A</definedName>
    <definedName name="__shared_1_0_290">#N/A</definedName>
    <definedName name="__shared_1_0_291">#N/A</definedName>
    <definedName name="__shared_1_0_292">#N/A</definedName>
    <definedName name="__shared_1_0_293">#N/A</definedName>
    <definedName name="__shared_1_0_294">#N/A</definedName>
    <definedName name="__shared_1_0_295">#N/A</definedName>
    <definedName name="__shared_1_0_296">#N/A</definedName>
    <definedName name="__shared_1_0_297">#N/A</definedName>
    <definedName name="__shared_1_0_298" localSheetId="3">#REF!</definedName>
    <definedName name="__shared_1_0_298" localSheetId="2">#REF!</definedName>
    <definedName name="__shared_1_0_298" localSheetId="0">#REF!</definedName>
    <definedName name="__shared_1_0_298">#REF!</definedName>
    <definedName name="__shared_1_0_299">#N/A</definedName>
    <definedName name="__shared_1_0_3">#N/A</definedName>
    <definedName name="__shared_1_0_30">#N/A</definedName>
    <definedName name="__shared_1_0_300">#N/A</definedName>
    <definedName name="__shared_1_0_301">#N/A</definedName>
    <definedName name="__shared_1_0_302">#N/A</definedName>
    <definedName name="__shared_1_0_303">#N/A</definedName>
    <definedName name="__shared_1_0_304">#N/A</definedName>
    <definedName name="__shared_1_0_305">#N/A</definedName>
    <definedName name="__shared_1_0_306">#N/A</definedName>
    <definedName name="__shared_1_0_307">#N/A</definedName>
    <definedName name="__shared_1_0_308">#N/A</definedName>
    <definedName name="__shared_1_0_309" localSheetId="3">#REF!</definedName>
    <definedName name="__shared_1_0_309" localSheetId="2">#REF!</definedName>
    <definedName name="__shared_1_0_309" localSheetId="0">#REF!</definedName>
    <definedName name="__shared_1_0_309">#REF!</definedName>
    <definedName name="__shared_1_0_31">#N/A</definedName>
    <definedName name="__shared_1_0_310">#N/A</definedName>
    <definedName name="__shared_1_0_311">#N/A</definedName>
    <definedName name="__shared_1_0_312">#N/A</definedName>
    <definedName name="__shared_1_0_313">#N/A</definedName>
    <definedName name="__shared_1_0_314">#N/A</definedName>
    <definedName name="__shared_1_0_315">#N/A</definedName>
    <definedName name="__shared_1_0_316">#N/A</definedName>
    <definedName name="__shared_1_0_317">#N/A</definedName>
    <definedName name="__shared_1_0_318">#N/A</definedName>
    <definedName name="__shared_1_0_319">#N/A</definedName>
    <definedName name="__shared_1_0_32">#N/A</definedName>
    <definedName name="__shared_1_0_320" localSheetId="3">#REF!</definedName>
    <definedName name="__shared_1_0_320" localSheetId="2">#REF!</definedName>
    <definedName name="__shared_1_0_320" localSheetId="0">#REF!</definedName>
    <definedName name="__shared_1_0_320">#REF!</definedName>
    <definedName name="__shared_1_0_321">#N/A</definedName>
    <definedName name="__shared_1_0_322">#N/A</definedName>
    <definedName name="__shared_1_0_323">#N/A</definedName>
    <definedName name="__shared_1_0_324">#N/A</definedName>
    <definedName name="__shared_1_0_325">#N/A</definedName>
    <definedName name="__shared_1_0_326">#N/A</definedName>
    <definedName name="__shared_1_0_327">#N/A</definedName>
    <definedName name="__shared_1_0_328">#N/A</definedName>
    <definedName name="__shared_1_0_329">#N/A</definedName>
    <definedName name="__shared_1_0_33" localSheetId="3">#REF!</definedName>
    <definedName name="__shared_1_0_33" localSheetId="2">#REF!</definedName>
    <definedName name="__shared_1_0_33" localSheetId="0">#REF!</definedName>
    <definedName name="__shared_1_0_33">#REF!</definedName>
    <definedName name="__shared_1_0_330">#N/A</definedName>
    <definedName name="__shared_1_0_331" localSheetId="3">#REF!</definedName>
    <definedName name="__shared_1_0_331" localSheetId="2">#REF!</definedName>
    <definedName name="__shared_1_0_331" localSheetId="0">#REF!</definedName>
    <definedName name="__shared_1_0_331">#REF!</definedName>
    <definedName name="__shared_1_0_332">#N/A</definedName>
    <definedName name="__shared_1_0_333">#N/A</definedName>
    <definedName name="__shared_1_0_334">#N/A</definedName>
    <definedName name="__shared_1_0_335">#N/A</definedName>
    <definedName name="__shared_1_0_336">#N/A</definedName>
    <definedName name="__shared_1_0_337">#N/A</definedName>
    <definedName name="__shared_1_0_338">#N/A</definedName>
    <definedName name="__shared_1_0_339">#N/A</definedName>
    <definedName name="__shared_1_0_34">#N/A</definedName>
    <definedName name="__shared_1_0_340">#N/A</definedName>
    <definedName name="__shared_1_0_341">#N/A</definedName>
    <definedName name="__shared_1_0_342" localSheetId="3">#REF!</definedName>
    <definedName name="__shared_1_0_342" localSheetId="2">#REF!</definedName>
    <definedName name="__shared_1_0_342" localSheetId="0">#REF!</definedName>
    <definedName name="__shared_1_0_342">#REF!</definedName>
    <definedName name="__shared_1_0_343">#N/A</definedName>
    <definedName name="__shared_1_0_344">#N/A</definedName>
    <definedName name="__shared_1_0_345">#N/A</definedName>
    <definedName name="__shared_1_0_346">#N/A</definedName>
    <definedName name="__shared_1_0_347">#N/A</definedName>
    <definedName name="__shared_1_0_348">#N/A</definedName>
    <definedName name="__shared_1_0_349">#N/A</definedName>
    <definedName name="__shared_1_0_35">#N/A</definedName>
    <definedName name="__shared_1_0_350">#N/A</definedName>
    <definedName name="__shared_1_0_351">#N/A</definedName>
    <definedName name="__shared_1_0_352">#N/A</definedName>
    <definedName name="__shared_1_0_353" localSheetId="3">#REF!</definedName>
    <definedName name="__shared_1_0_353" localSheetId="2">#REF!</definedName>
    <definedName name="__shared_1_0_353" localSheetId="0">#REF!</definedName>
    <definedName name="__shared_1_0_353">#REF!</definedName>
    <definedName name="__shared_1_0_354">#N/A</definedName>
    <definedName name="__shared_1_0_355">#N/A</definedName>
    <definedName name="__shared_1_0_356">#N/A</definedName>
    <definedName name="__shared_1_0_357">#N/A</definedName>
    <definedName name="__shared_1_0_358">#N/A</definedName>
    <definedName name="__shared_1_0_359">#N/A</definedName>
    <definedName name="__shared_1_0_36">#N/A</definedName>
    <definedName name="__shared_1_0_360">#N/A</definedName>
    <definedName name="__shared_1_0_361">#N/A</definedName>
    <definedName name="__shared_1_0_362">#N/A</definedName>
    <definedName name="__shared_1_0_363">#N/A</definedName>
    <definedName name="__shared_1_0_364" localSheetId="3">#REF!</definedName>
    <definedName name="__shared_1_0_364" localSheetId="2">#REF!</definedName>
    <definedName name="__shared_1_0_364" localSheetId="0">#REF!</definedName>
    <definedName name="__shared_1_0_364">#REF!</definedName>
    <definedName name="__shared_1_0_365">#N/A</definedName>
    <definedName name="__shared_1_0_366">#N/A</definedName>
    <definedName name="__shared_1_0_367">#N/A</definedName>
    <definedName name="__shared_1_0_368">#N/A</definedName>
    <definedName name="__shared_1_0_369">#N/A</definedName>
    <definedName name="__shared_1_0_37">#N/A</definedName>
    <definedName name="__shared_1_0_370">#N/A</definedName>
    <definedName name="__shared_1_0_371">#N/A</definedName>
    <definedName name="__shared_1_0_372">#N/A</definedName>
    <definedName name="__shared_1_0_373">#N/A</definedName>
    <definedName name="__shared_1_0_374">#N/A</definedName>
    <definedName name="__shared_1_0_375" localSheetId="3">#REF!</definedName>
    <definedName name="__shared_1_0_375" localSheetId="2">#REF!</definedName>
    <definedName name="__shared_1_0_375" localSheetId="0">#REF!</definedName>
    <definedName name="__shared_1_0_375">#REF!</definedName>
    <definedName name="__shared_1_0_376">#N/A</definedName>
    <definedName name="__shared_1_0_377">#N/A</definedName>
    <definedName name="__shared_1_0_378">#N/A</definedName>
    <definedName name="__shared_1_0_379">#N/A</definedName>
    <definedName name="__shared_1_0_38">#N/A</definedName>
    <definedName name="__shared_1_0_380">#N/A</definedName>
    <definedName name="__shared_1_0_381">#N/A</definedName>
    <definedName name="__shared_1_0_382">#N/A</definedName>
    <definedName name="__shared_1_0_383">#N/A</definedName>
    <definedName name="__shared_1_0_384">#N/A</definedName>
    <definedName name="__shared_1_0_385">#N/A</definedName>
    <definedName name="__shared_1_0_386" localSheetId="3">#REF!</definedName>
    <definedName name="__shared_1_0_386" localSheetId="2">#REF!</definedName>
    <definedName name="__shared_1_0_386" localSheetId="0">#REF!</definedName>
    <definedName name="__shared_1_0_386">#REF!</definedName>
    <definedName name="__shared_1_0_387">#N/A</definedName>
    <definedName name="__shared_1_0_388">#N/A</definedName>
    <definedName name="__shared_1_0_389">#N/A</definedName>
    <definedName name="__shared_1_0_39">#N/A</definedName>
    <definedName name="__shared_1_0_390">#N/A</definedName>
    <definedName name="__shared_1_0_391">#N/A</definedName>
    <definedName name="__shared_1_0_392">#N/A</definedName>
    <definedName name="__shared_1_0_393">#N/A</definedName>
    <definedName name="__shared_1_0_394">#N/A</definedName>
    <definedName name="__shared_1_0_395">#N/A</definedName>
    <definedName name="__shared_1_0_396">#N/A</definedName>
    <definedName name="__shared_1_0_397" localSheetId="3">#REF!</definedName>
    <definedName name="__shared_1_0_397" localSheetId="2">#REF!</definedName>
    <definedName name="__shared_1_0_397" localSheetId="0">#REF!</definedName>
    <definedName name="__shared_1_0_397">#REF!</definedName>
    <definedName name="__shared_1_0_398">#N/A</definedName>
    <definedName name="__shared_1_0_399">#N/A</definedName>
    <definedName name="__shared_1_0_4">#N/A</definedName>
    <definedName name="__shared_1_0_40">#N/A</definedName>
    <definedName name="__shared_1_0_400">#N/A</definedName>
    <definedName name="__shared_1_0_401">#N/A</definedName>
    <definedName name="__shared_1_0_402">#N/A</definedName>
    <definedName name="__shared_1_0_403">#N/A</definedName>
    <definedName name="__shared_1_0_404">#N/A</definedName>
    <definedName name="__shared_1_0_405">#N/A</definedName>
    <definedName name="__shared_1_0_406">#N/A</definedName>
    <definedName name="__shared_1_0_407">#N/A</definedName>
    <definedName name="__shared_1_0_408" localSheetId="3">#REF!</definedName>
    <definedName name="__shared_1_0_408" localSheetId="2">#REF!</definedName>
    <definedName name="__shared_1_0_408" localSheetId="0">#REF!</definedName>
    <definedName name="__shared_1_0_408">#REF!</definedName>
    <definedName name="__shared_1_0_409">#N/A</definedName>
    <definedName name="__shared_1_0_41">#N/A</definedName>
    <definedName name="__shared_1_0_410">#N/A</definedName>
    <definedName name="__shared_1_0_411">#N/A</definedName>
    <definedName name="__shared_1_0_412">#N/A</definedName>
    <definedName name="__shared_1_0_413">#N/A</definedName>
    <definedName name="__shared_1_0_414">#N/A</definedName>
    <definedName name="__shared_1_0_415">#N/A</definedName>
    <definedName name="__shared_1_0_416">#N/A</definedName>
    <definedName name="__shared_1_0_417">#N/A</definedName>
    <definedName name="__shared_1_0_418">#N/A</definedName>
    <definedName name="__shared_1_0_419" localSheetId="3">#REF!</definedName>
    <definedName name="__shared_1_0_419" localSheetId="2">#REF!</definedName>
    <definedName name="__shared_1_0_419" localSheetId="0">#REF!</definedName>
    <definedName name="__shared_1_0_419">#REF!</definedName>
    <definedName name="__shared_1_0_42">#N/A</definedName>
    <definedName name="__shared_1_0_420">#N/A</definedName>
    <definedName name="__shared_1_0_421">#N/A</definedName>
    <definedName name="__shared_1_0_422">#N/A</definedName>
    <definedName name="__shared_1_0_423">#N/A</definedName>
    <definedName name="__shared_1_0_424">#N/A</definedName>
    <definedName name="__shared_1_0_425">#N/A</definedName>
    <definedName name="__shared_1_0_426">#N/A</definedName>
    <definedName name="__shared_1_0_427">#N/A</definedName>
    <definedName name="__shared_1_0_428">#N/A</definedName>
    <definedName name="__shared_1_0_429">#N/A</definedName>
    <definedName name="__shared_1_0_43">#N/A</definedName>
    <definedName name="__shared_1_0_430" localSheetId="3">#REF!</definedName>
    <definedName name="__shared_1_0_430" localSheetId="2">#REF!</definedName>
    <definedName name="__shared_1_0_430" localSheetId="0">#REF!</definedName>
    <definedName name="__shared_1_0_430">#REF!</definedName>
    <definedName name="__shared_1_0_431">#N/A</definedName>
    <definedName name="__shared_1_0_432">#N/A</definedName>
    <definedName name="__shared_1_0_433">#N/A</definedName>
    <definedName name="__shared_1_0_434">#N/A</definedName>
    <definedName name="__shared_1_0_435">#N/A</definedName>
    <definedName name="__shared_1_0_436">#N/A</definedName>
    <definedName name="__shared_1_0_437">#N/A</definedName>
    <definedName name="__shared_1_0_438">#N/A</definedName>
    <definedName name="__shared_1_0_439">#N/A</definedName>
    <definedName name="__shared_1_0_44" localSheetId="3">#REF!</definedName>
    <definedName name="__shared_1_0_44" localSheetId="2">#REF!</definedName>
    <definedName name="__shared_1_0_44" localSheetId="0">#REF!</definedName>
    <definedName name="__shared_1_0_44">#REF!</definedName>
    <definedName name="__shared_1_0_440">#N/A</definedName>
    <definedName name="__shared_1_0_441" localSheetId="3">#REF!</definedName>
    <definedName name="__shared_1_0_441" localSheetId="2">#REF!</definedName>
    <definedName name="__shared_1_0_441" localSheetId="0">#REF!</definedName>
    <definedName name="__shared_1_0_441">#REF!</definedName>
    <definedName name="__shared_1_0_442">#N/A</definedName>
    <definedName name="__shared_1_0_443">#N/A</definedName>
    <definedName name="__shared_1_0_444">#N/A</definedName>
    <definedName name="__shared_1_0_445">#N/A</definedName>
    <definedName name="__shared_1_0_446">#N/A</definedName>
    <definedName name="__shared_1_0_447">#N/A</definedName>
    <definedName name="__shared_1_0_448">#N/A</definedName>
    <definedName name="__shared_1_0_449">#N/A</definedName>
    <definedName name="__shared_1_0_45">#N/A</definedName>
    <definedName name="__shared_1_0_450">#N/A</definedName>
    <definedName name="__shared_1_0_451">#N/A</definedName>
    <definedName name="__shared_1_0_452">#N/A</definedName>
    <definedName name="__shared_1_0_453">#N/A</definedName>
    <definedName name="__shared_1_0_454" localSheetId="3">#REF!</definedName>
    <definedName name="__shared_1_0_454" localSheetId="2">#REF!</definedName>
    <definedName name="__shared_1_0_454" localSheetId="0">#REF!</definedName>
    <definedName name="__shared_1_0_454">#REF!</definedName>
    <definedName name="__shared_1_0_455">#N/A</definedName>
    <definedName name="__shared_1_0_456">#N/A</definedName>
    <definedName name="__shared_1_0_457">#N/A</definedName>
    <definedName name="__shared_1_0_458">#N/A</definedName>
    <definedName name="__shared_1_0_459">#N/A</definedName>
    <definedName name="__shared_1_0_46">#N/A</definedName>
    <definedName name="__shared_1_0_460">#N/A</definedName>
    <definedName name="__shared_1_0_461">#N/A</definedName>
    <definedName name="__shared_1_0_462">#N/A</definedName>
    <definedName name="__shared_1_0_463">#N/A</definedName>
    <definedName name="__shared_1_0_464">#N/A</definedName>
    <definedName name="__shared_1_0_465" localSheetId="3">#REF!</definedName>
    <definedName name="__shared_1_0_465" localSheetId="2">#REF!</definedName>
    <definedName name="__shared_1_0_465" localSheetId="0">#REF!</definedName>
    <definedName name="__shared_1_0_465">#REF!</definedName>
    <definedName name="__shared_1_0_466">#N/A</definedName>
    <definedName name="__shared_1_0_467">#N/A</definedName>
    <definedName name="__shared_1_0_468">#N/A</definedName>
    <definedName name="__shared_1_0_469">#N/A</definedName>
    <definedName name="__shared_1_0_47">#N/A</definedName>
    <definedName name="__shared_1_0_470">#N/A</definedName>
    <definedName name="__shared_1_0_471">#N/A</definedName>
    <definedName name="__shared_1_0_472">#N/A</definedName>
    <definedName name="__shared_1_0_473">#N/A</definedName>
    <definedName name="__shared_1_0_474">#N/A</definedName>
    <definedName name="__shared_1_0_475">#N/A</definedName>
    <definedName name="__shared_1_0_476">#N/A</definedName>
    <definedName name="__shared_1_0_477" localSheetId="3">#REF!</definedName>
    <definedName name="__shared_1_0_477" localSheetId="2">#REF!</definedName>
    <definedName name="__shared_1_0_477" localSheetId="0">#REF!</definedName>
    <definedName name="__shared_1_0_477">#REF!</definedName>
    <definedName name="__shared_1_0_478">#N/A</definedName>
    <definedName name="__shared_1_0_479">#N/A</definedName>
    <definedName name="__shared_1_0_48">#N/A</definedName>
    <definedName name="__shared_1_0_480">#N/A</definedName>
    <definedName name="__shared_1_0_481">#N/A</definedName>
    <definedName name="__shared_1_0_482">#N/A</definedName>
    <definedName name="__shared_1_0_483">#N/A</definedName>
    <definedName name="__shared_1_0_484">#N/A</definedName>
    <definedName name="__shared_1_0_485">#N/A</definedName>
    <definedName name="__shared_1_0_486">#N/A</definedName>
    <definedName name="__shared_1_0_487">#N/A</definedName>
    <definedName name="__shared_1_0_488" localSheetId="3">#REF!</definedName>
    <definedName name="__shared_1_0_488" localSheetId="2">#REF!</definedName>
    <definedName name="__shared_1_0_488" localSheetId="0">#REF!</definedName>
    <definedName name="__shared_1_0_488">#REF!</definedName>
    <definedName name="__shared_1_0_489">#N/A</definedName>
    <definedName name="__shared_1_0_49">#N/A</definedName>
    <definedName name="__shared_1_0_490">#N/A</definedName>
    <definedName name="__shared_1_0_491">#N/A</definedName>
    <definedName name="__shared_1_0_492">#N/A</definedName>
    <definedName name="__shared_1_0_493">#N/A</definedName>
    <definedName name="__shared_1_0_494">#N/A</definedName>
    <definedName name="__shared_1_0_495">#N/A</definedName>
    <definedName name="__shared_1_0_496">#N/A</definedName>
    <definedName name="__shared_1_0_497">#N/A</definedName>
    <definedName name="__shared_1_0_498">#N/A</definedName>
    <definedName name="__shared_1_0_5">#N/A</definedName>
    <definedName name="__shared_1_0_50">#N/A</definedName>
    <definedName name="__shared_1_0_51">#N/A</definedName>
    <definedName name="__shared_1_0_52">#N/A</definedName>
    <definedName name="__shared_1_0_53">#N/A</definedName>
    <definedName name="__shared_1_0_54">#N/A</definedName>
    <definedName name="__shared_1_0_55" localSheetId="3">#REF!</definedName>
    <definedName name="__shared_1_0_55" localSheetId="2">#REF!</definedName>
    <definedName name="__shared_1_0_55" localSheetId="0">#REF!</definedName>
    <definedName name="__shared_1_0_55">#REF!</definedName>
    <definedName name="__shared_1_0_56">#N/A</definedName>
    <definedName name="__shared_1_0_57">#N/A</definedName>
    <definedName name="__shared_1_0_58">#N/A</definedName>
    <definedName name="__shared_1_0_59">#N/A</definedName>
    <definedName name="__shared_1_0_6">#N/A</definedName>
    <definedName name="__shared_1_0_60">#N/A</definedName>
    <definedName name="__shared_1_0_61">#N/A</definedName>
    <definedName name="__shared_1_0_62">#N/A</definedName>
    <definedName name="__shared_1_0_63">#N/A</definedName>
    <definedName name="__shared_1_0_64">#N/A</definedName>
    <definedName name="__shared_1_0_65">#N/A</definedName>
    <definedName name="__shared_1_0_66" localSheetId="3">#REF!</definedName>
    <definedName name="__shared_1_0_66" localSheetId="2">#REF!</definedName>
    <definedName name="__shared_1_0_66" localSheetId="0">#REF!</definedName>
    <definedName name="__shared_1_0_66">#REF!</definedName>
    <definedName name="__shared_1_0_67">#N/A</definedName>
    <definedName name="__shared_1_0_68">#N/A</definedName>
    <definedName name="__shared_1_0_69">#N/A</definedName>
    <definedName name="__shared_1_0_7">#N/A</definedName>
    <definedName name="__shared_1_0_70">#N/A</definedName>
    <definedName name="__shared_1_0_71">#N/A</definedName>
    <definedName name="__shared_1_0_72">#N/A</definedName>
    <definedName name="__shared_1_0_73">#N/A</definedName>
    <definedName name="__shared_1_0_74">#N/A</definedName>
    <definedName name="__shared_1_0_75">#N/A</definedName>
    <definedName name="__shared_1_0_76">#N/A</definedName>
    <definedName name="__shared_1_0_77">#N/A</definedName>
    <definedName name="__shared_1_0_78" localSheetId="3">#REF!</definedName>
    <definedName name="__shared_1_0_78" localSheetId="2">#REF!</definedName>
    <definedName name="__shared_1_0_78" localSheetId="0">#REF!</definedName>
    <definedName name="__shared_1_0_78">#REF!</definedName>
    <definedName name="__shared_1_0_79">#N/A</definedName>
    <definedName name="__shared_1_0_8">#N/A</definedName>
    <definedName name="__shared_1_0_80">#N/A</definedName>
    <definedName name="__shared_1_0_81">#N/A</definedName>
    <definedName name="__shared_1_0_82">#N/A</definedName>
    <definedName name="__shared_1_0_83">#N/A</definedName>
    <definedName name="__shared_1_0_84">#N/A</definedName>
    <definedName name="__shared_1_0_85">#N/A</definedName>
    <definedName name="__shared_1_0_86">#N/A</definedName>
    <definedName name="__shared_1_0_87">#N/A</definedName>
    <definedName name="__shared_1_0_88">#N/A</definedName>
    <definedName name="__shared_1_0_89">#N/A</definedName>
    <definedName name="__shared_1_0_9">#N/A</definedName>
    <definedName name="__shared_1_0_90">#N/A</definedName>
    <definedName name="__shared_1_0_91">#N/A</definedName>
    <definedName name="__shared_1_0_92" localSheetId="3">#REF!</definedName>
    <definedName name="__shared_1_0_92" localSheetId="2">#REF!</definedName>
    <definedName name="__shared_1_0_92" localSheetId="0">#REF!</definedName>
    <definedName name="__shared_1_0_92">#REF!</definedName>
    <definedName name="__shared_1_0_93">#N/A</definedName>
    <definedName name="__shared_1_0_94">#N/A</definedName>
    <definedName name="__shared_1_0_95">#N/A</definedName>
    <definedName name="__shared_1_0_96">#N/A</definedName>
    <definedName name="__shared_1_0_97">#N/A</definedName>
    <definedName name="__shared_1_0_98">#N/A</definedName>
    <definedName name="__shared_1_0_99">#N/A</definedName>
    <definedName name="__shared_2_0_0">#N/A</definedName>
    <definedName name="__shared_2_0_1">#N/A</definedName>
    <definedName name="__shared_2_0_2">#N/A</definedName>
    <definedName name="__shared_2_0_3">#N/A</definedName>
    <definedName name="__shared_2_0_4">#N/A</definedName>
    <definedName name="__xlnm.Print_Area" localSheetId="3">'Cronograma  GERAL'!$A$1:$N$88</definedName>
    <definedName name="__xlnm.Print_Titles" localSheetId="3">'Cronograma  GERAL'!$1:$10</definedName>
    <definedName name="_xlnm._FilterDatabase" localSheetId="0" hidden="1">'OBRAS E SERVIÇOS'!$A$1965:$B$1966</definedName>
    <definedName name="A_1">#REF!</definedName>
    <definedName name="A_2">#REF!</definedName>
    <definedName name="_xlnm.Print_Area" localSheetId="3">'Cronograma  GERAL'!$A$1:$AN$88</definedName>
    <definedName name="_xlnm.Print_Area" localSheetId="2">'Itens de Relevancia'!$A$1:$E$18</definedName>
    <definedName name="_xlnm.Print_Area" localSheetId="1">'MAQUINARIOS E EQUIPAMENTOS'!$D$1:$P$1734</definedName>
    <definedName name="_xlnm.Print_Area" localSheetId="0">'OBRAS E SERVIÇOS'!$A$1:$M$2065</definedName>
    <definedName name="AreaTeste">#REF!</definedName>
    <definedName name="AreaTeste2">#REF!</definedName>
    <definedName name="B_1">#REF!</definedName>
    <definedName name="B_2">#REF!</definedName>
    <definedName name="BDI">[1]PREÇOS!#REF!</definedName>
    <definedName name="BDI_MAT_DES">'[2]BDI Com'!$H$44</definedName>
    <definedName name="BDI_SERV_DES">'[2]BDI Com'!$C$44</definedName>
    <definedName name="C_268_038_TOT">'[2]C_268-038'!$H$17</definedName>
    <definedName name="C_268_039_TOT">'[2]C_268-039'!$H$10</definedName>
    <definedName name="C_268_041_TOT">'[2]C_268-041'!$H$10</definedName>
    <definedName name="C_268_042_TOT">'[2]C_268-042'!$H$10</definedName>
    <definedName name="C_268_043_TOT">'[2]C_268-043'!$H$10</definedName>
    <definedName name="C_268_044_TOT">'[2]C_268-044'!$H$10</definedName>
    <definedName name="C_268_045_TOT">'[2]C_268-045'!$H$10</definedName>
    <definedName name="C_268_046_TOT">'[2]C_268-046'!$H$10</definedName>
    <definedName name="C_268_047_TOT">'[2]C_268-047'!$H$10</definedName>
    <definedName name="C_268_048_TOT">'[2]C_268-048'!$H$9</definedName>
    <definedName name="C_268_049_TOT">'[2]C_268-049'!$H$17</definedName>
    <definedName name="C_268_060_TOT">'[2]C_268-060'!$H$20</definedName>
    <definedName name="C_268_061_TOT">'[2]C_268-061'!$H$10</definedName>
    <definedName name="CélulaInicioPlanilha">#REF!</definedName>
    <definedName name="CélulaResumo">#REF!</definedName>
    <definedName name="Critérios_IM">#REF!</definedName>
    <definedName name="Cronograma1" localSheetId="2">#N/A</definedName>
    <definedName name="Cronograma1">#N/A</definedName>
    <definedName name="custo_canal_diversos">#REF!</definedName>
    <definedName name="custo_canal_k">#REF!</definedName>
    <definedName name="custo_viario_diversos">#REF!</definedName>
    <definedName name="custo_viario_k">#REF!</definedName>
    <definedName name="E_001_TOT">'[2]E-001'!$H$13</definedName>
    <definedName name="E_002_TOT">'[2]E-002'!$H$17</definedName>
    <definedName name="E_004_TOT">'[2]E-004'!$H$13</definedName>
    <definedName name="E_005_TOT">'[2]E-005'!$H$13</definedName>
    <definedName name="E_006_TOT">'[2]E-006'!$H$13</definedName>
    <definedName name="E_007_TOT">'[2]E-007'!$H$13</definedName>
    <definedName name="E_008_TOT">'[2]E-008'!$H$16</definedName>
    <definedName name="E_009_TOT">'[2]E-009'!$H$12</definedName>
    <definedName name="E_010_TOT">'[2]E-010'!$H$30</definedName>
    <definedName name="E_011_TOT">'[2]E-011'!$H$30</definedName>
    <definedName name="E_012_TOT">'[2]E-012'!$H$30</definedName>
    <definedName name="E_013_TOT">'[2]E-013'!$H$30</definedName>
    <definedName name="E_014_TOT">'[2]E-014'!$H$13</definedName>
    <definedName name="E_015_TOT">'[2]E-015'!$H$13</definedName>
    <definedName name="E_017_TOT">'[2]E-017'!$H$13</definedName>
    <definedName name="E_018_TOT">'[2]E-018'!$H$13</definedName>
    <definedName name="E_019_TOT">'[2]E-019'!$H$13</definedName>
    <definedName name="E_020_TOT">'[2]E-020'!$H$13</definedName>
    <definedName name="E_021_TOT">'[2]E-021'!$H$13</definedName>
    <definedName name="E_022_TOT">'[2]E-022'!$H$13</definedName>
    <definedName name="E_023_TOT">'[2]E-023'!$H$13</definedName>
    <definedName name="E_024_TOT">'[2]E-024'!$H$13</definedName>
    <definedName name="E_025_TOT">'[2]E-025'!$H$13</definedName>
    <definedName name="E_026_TOT">'[2]E-026'!$H$13</definedName>
    <definedName name="E_027_TOT">'[2]E-027'!$H$13</definedName>
    <definedName name="E_028_TOT">'[2]E-028'!$H$13</definedName>
    <definedName name="E_029_TOT">'[2]E-029'!$H$13</definedName>
    <definedName name="E_030_TOT">'[2]E-030'!$H$13</definedName>
    <definedName name="E_031_TOT">'[2]E-031'!$H$13</definedName>
    <definedName name="E_032_TOT">'[2]E-032'!$H$13</definedName>
    <definedName name="E_033_TOT">'[2]E-033'!$H$13</definedName>
    <definedName name="E_034_TOT">'[2]E-034'!$H$13</definedName>
    <definedName name="E_035_TOT">'[2]E-035'!$H$11</definedName>
    <definedName name="E_036_TOT">'[2]E-036'!$H$11</definedName>
    <definedName name="E_037_TOT">'[2]E-037'!$H$10</definedName>
    <definedName name="E_038_TOT">'[2]E-038'!$H$14</definedName>
    <definedName name="E_039_TOT">'[2]E-039'!$H$13</definedName>
    <definedName name="E_040_TOT">'[2]E-040'!$H$13</definedName>
    <definedName name="ELEV">#REF!</definedName>
    <definedName name="Excel_BuiltIn_Criteria">#REF!</definedName>
    <definedName name="Fl_01" localSheetId="3">#N/A</definedName>
    <definedName name="Fl_01" localSheetId="2">#N/A</definedName>
    <definedName name="Fl_01">#N/A</definedName>
    <definedName name="Fl_03">#REF!</definedName>
    <definedName name="Fl_07">#REF!</definedName>
    <definedName name="INDIC">#REF!</definedName>
    <definedName name="ÍNDICE">#REF!</definedName>
    <definedName name="INFR">#REF!</definedName>
    <definedName name="INFRATEC">#REF!</definedName>
    <definedName name="INFRETÉCNICA">[1]PREÇOS!#REF!</definedName>
    <definedName name="MÊS">#REF!</definedName>
    <definedName name="pla" localSheetId="2">#N/A</definedName>
    <definedName name="pla">#N/A</definedName>
    <definedName name="PLAN">#REF!</definedName>
    <definedName name="planilha" localSheetId="2">#N/A</definedName>
    <definedName name="planilha">#N/A</definedName>
    <definedName name="Print_Area_MI">#REF!</definedName>
    <definedName name="SHARED_FORMULA_1_106_1_106_4">#REF!</definedName>
    <definedName name="SHARED_FORMULA_1_114_1_114_4">#REF!</definedName>
    <definedName name="SHARED_FORMULA_1_39_1_39_0">#REF!</definedName>
    <definedName name="SHARED_FORMULA_1_41_1_41_4">#REF!</definedName>
    <definedName name="SHARED_FORMULA_1_58_1_58_4">#REF!</definedName>
    <definedName name="SHARED_FORMULA_1_64_1_64_4">#REF!</definedName>
    <definedName name="SHARED_FORMULA_1_79_1_79_0">#REF!</definedName>
    <definedName name="SHARED_FORMULA_10_144_10_144_0" localSheetId="3">#REF!</definedName>
    <definedName name="SHARED_FORMULA_10_144_10_144_0" localSheetId="2">#REF!</definedName>
    <definedName name="SHARED_FORMULA_10_144_10_144_0" localSheetId="0">#REF!</definedName>
    <definedName name="SHARED_FORMULA_10_144_10_144_0">#REF!</definedName>
    <definedName name="SHARED_FORMULA_10_176_10_176_0" localSheetId="3">#REF!</definedName>
    <definedName name="SHARED_FORMULA_10_176_10_176_0" localSheetId="2">#REF!</definedName>
    <definedName name="SHARED_FORMULA_10_176_10_176_0" localSheetId="0">#REF!</definedName>
    <definedName name="SHARED_FORMULA_10_176_10_176_0">#REF!</definedName>
    <definedName name="SHARED_FORMULA_10_18_10_18_0">#REF!</definedName>
    <definedName name="SHARED_FORMULA_10_26_10_26_0">#REF!</definedName>
    <definedName name="SHARED_FORMULA_10_58_10_58_0">#REF!</definedName>
    <definedName name="SHARED_FORMULA_10_7_10_7_0">#REF!</definedName>
    <definedName name="SHARED_FORMULA_10_78_10_78_0">#REF!</definedName>
    <definedName name="SHARED_FORMULA_10_91_10_91_0">#REF!</definedName>
    <definedName name="SHARED_FORMULA_11_144_11_144_0" localSheetId="3">#REF!*#REF!</definedName>
    <definedName name="SHARED_FORMULA_11_144_11_144_0" localSheetId="2">#REF!*#REF!</definedName>
    <definedName name="SHARED_FORMULA_11_144_11_144_0" localSheetId="0">#REF!*#REF!</definedName>
    <definedName name="SHARED_FORMULA_11_144_11_144_0">#REF!*#REF!</definedName>
    <definedName name="SHARED_FORMULA_11_176_11_176_0" localSheetId="3">#REF!*#REF!</definedName>
    <definedName name="SHARED_FORMULA_11_176_11_176_0" localSheetId="2">#REF!*#REF!</definedName>
    <definedName name="SHARED_FORMULA_11_176_11_176_0" localSheetId="0">#REF!*#REF!</definedName>
    <definedName name="SHARED_FORMULA_11_176_11_176_0">#REF!*#REF!</definedName>
    <definedName name="SHARED_FORMULA_11_18_11_18_0">#REF!*#REF!</definedName>
    <definedName name="SHARED_FORMULA_11_26_11_26_0">#REF!*#REF!</definedName>
    <definedName name="SHARED_FORMULA_11_58_11_58_0">#REF!*#REF!</definedName>
    <definedName name="SHARED_FORMULA_11_7_11_7_0">#REF!*#REF!</definedName>
    <definedName name="SHARED_FORMULA_11_78_11_78_0">#REF!*#REF!</definedName>
    <definedName name="SHARED_FORMULA_11_91_11_91_0">#REF!*#REF!</definedName>
    <definedName name="SHARED_FORMULA_12_144_12_144_0" localSheetId="3">#REF!*#REF!</definedName>
    <definedName name="SHARED_FORMULA_12_144_12_144_0" localSheetId="2">#REF!*#REF!</definedName>
    <definedName name="SHARED_FORMULA_12_144_12_144_0" localSheetId="0">#REF!*#REF!</definedName>
    <definedName name="SHARED_FORMULA_12_144_12_144_0">#REF!*#REF!</definedName>
    <definedName name="SHARED_FORMULA_12_176_12_176_0" localSheetId="3">#REF!*#REF!</definedName>
    <definedName name="SHARED_FORMULA_12_176_12_176_0" localSheetId="2">#REF!*#REF!</definedName>
    <definedName name="SHARED_FORMULA_12_176_12_176_0" localSheetId="0">#REF!*#REF!</definedName>
    <definedName name="SHARED_FORMULA_12_176_12_176_0">#REF!*#REF!</definedName>
    <definedName name="SHARED_FORMULA_12_18_12_18_0">#REF!*#REF!</definedName>
    <definedName name="SHARED_FORMULA_12_26_12_26_0">#REF!*#REF!</definedName>
    <definedName name="SHARED_FORMULA_12_58_12_58_0">#REF!*#REF!</definedName>
    <definedName name="SHARED_FORMULA_12_7_12_7_0">#REF!*#REF!</definedName>
    <definedName name="SHARED_FORMULA_12_78_12_78_0">#REF!*#REF!</definedName>
    <definedName name="SHARED_FORMULA_12_91_12_91_0">#REF!*#REF!</definedName>
    <definedName name="SHARED_FORMULA_13_144_13_144_0" localSheetId="3">#REF!*#REF!</definedName>
    <definedName name="SHARED_FORMULA_13_144_13_144_0" localSheetId="2">#REF!*#REF!</definedName>
    <definedName name="SHARED_FORMULA_13_144_13_144_0" localSheetId="0">#REF!*#REF!</definedName>
    <definedName name="SHARED_FORMULA_13_144_13_144_0">#REF!*#REF!</definedName>
    <definedName name="SHARED_FORMULA_13_176_13_176_0" localSheetId="3">#REF!*#REF!</definedName>
    <definedName name="SHARED_FORMULA_13_176_13_176_0" localSheetId="2">#REF!*#REF!</definedName>
    <definedName name="SHARED_FORMULA_13_176_13_176_0" localSheetId="0">#REF!*#REF!</definedName>
    <definedName name="SHARED_FORMULA_13_176_13_176_0">#REF!*#REF!</definedName>
    <definedName name="SHARED_FORMULA_13_18_13_18_0">#REF!*#REF!</definedName>
    <definedName name="SHARED_FORMULA_13_26_13_26_0">#REF!*#REF!</definedName>
    <definedName name="SHARED_FORMULA_13_58_13_58_0">#REF!*#REF!</definedName>
    <definedName name="SHARED_FORMULA_13_7_13_7_0">#REF!*#REF!</definedName>
    <definedName name="SHARED_FORMULA_13_78_13_78_0">#REF!*#REF!</definedName>
    <definedName name="SHARED_FORMULA_13_91_13_91_0">#REF!*#REF!</definedName>
    <definedName name="SHARED_FORMULA_14_144_14_144_0" localSheetId="3">#REF!*#REF!</definedName>
    <definedName name="SHARED_FORMULA_14_144_14_144_0" localSheetId="2">#REF!*#REF!</definedName>
    <definedName name="SHARED_FORMULA_14_144_14_144_0" localSheetId="0">#REF!*#REF!</definedName>
    <definedName name="SHARED_FORMULA_14_144_14_144_0">#REF!*#REF!</definedName>
    <definedName name="SHARED_FORMULA_14_176_14_176_0" localSheetId="3">#REF!*#REF!</definedName>
    <definedName name="SHARED_FORMULA_14_176_14_176_0" localSheetId="2">#REF!*#REF!</definedName>
    <definedName name="SHARED_FORMULA_14_176_14_176_0" localSheetId="0">#REF!*#REF!</definedName>
    <definedName name="SHARED_FORMULA_14_176_14_176_0">#REF!*#REF!</definedName>
    <definedName name="SHARED_FORMULA_14_18_14_18_0">#REF!*#REF!</definedName>
    <definedName name="SHARED_FORMULA_14_26_14_26_0">#REF!*#REF!</definedName>
    <definedName name="SHARED_FORMULA_14_58_14_58_0">#REF!*#REF!</definedName>
    <definedName name="SHARED_FORMULA_14_7_14_7_0">#REF!*#REF!</definedName>
    <definedName name="SHARED_FORMULA_14_78_14_78_0">#REF!*#REF!</definedName>
    <definedName name="SHARED_FORMULA_14_91_14_91_0">#REF!*#REF!</definedName>
    <definedName name="SHARED_FORMULA_15_144_15_144_0" localSheetId="3">(((#REF!+#REF!+#REF!)*(1+#REF!))*(1+#REF!))</definedName>
    <definedName name="SHARED_FORMULA_15_144_15_144_0" localSheetId="2">(((#REF!+#REF!+#REF!)*(1+#REF!))*(1+#REF!))</definedName>
    <definedName name="SHARED_FORMULA_15_144_15_144_0" localSheetId="0">(((#REF!+#REF!+#REF!)*(1+#REF!))*(1+#REF!))</definedName>
    <definedName name="SHARED_FORMULA_15_144_15_144_0">(((#REF!+#REF!+#REF!)*(1+#REF!))*(1+#REF!))</definedName>
    <definedName name="SHARED_FORMULA_15_176_15_176_0" localSheetId="3">(((#REF!+#REF!+#REF!)*(1+#REF!))*(1+#REF!))</definedName>
    <definedName name="SHARED_FORMULA_15_176_15_176_0" localSheetId="2">(((#REF!+#REF!+#REF!)*(1+#REF!))*(1+#REF!))</definedName>
    <definedName name="SHARED_FORMULA_15_176_15_176_0" localSheetId="0">(((#REF!+#REF!+#REF!)*(1+#REF!))*(1+#REF!))</definedName>
    <definedName name="SHARED_FORMULA_15_176_15_176_0">(((#REF!+#REF!+#REF!)*(1+#REF!))*(1+#REF!))</definedName>
    <definedName name="SHARED_FORMULA_15_18_15_18_0">(((#REF!+#REF!+#REF!)*(1+#REF!))*(1+#REF!))</definedName>
    <definedName name="SHARED_FORMULA_15_26_15_26_0">(((#REF!+#REF!+#REF!)*(1+#REF!))*(1+#REF!))</definedName>
    <definedName name="SHARED_FORMULA_15_58_15_58_0">(((#REF!+#REF!+#REF!)*(1+#REF!))*(1+#REF!))</definedName>
    <definedName name="SHARED_FORMULA_15_7_15_7_0">(((#REF!+#REF!+#REF!)*(1+#REF!))*(1+#REF!))</definedName>
    <definedName name="SHARED_FORMULA_15_78_15_78_0">(((#REF!+#REF!+#REF!)*(1+#REF!))*(1+#REF!))</definedName>
    <definedName name="SHARED_FORMULA_15_91_15_91_0">(((#REF!+#REF!+#REF!)*(1+#REF!))*(1+#REF!))</definedName>
    <definedName name="SHARED_FORMULA_16_144_16_144_0" localSheetId="3">(((#REF!+#REF!+#REF!)*(1+#REF!))*(1+#REF!))</definedName>
    <definedName name="SHARED_FORMULA_16_144_16_144_0" localSheetId="2">(((#REF!+#REF!+#REF!)*(1+#REF!))*(1+#REF!))</definedName>
    <definedName name="SHARED_FORMULA_16_144_16_144_0" localSheetId="0">(((#REF!+#REF!+#REF!)*(1+#REF!))*(1+#REF!))</definedName>
    <definedName name="SHARED_FORMULA_16_144_16_144_0">(((#REF!+#REF!+#REF!)*(1+#REF!))*(1+#REF!))</definedName>
    <definedName name="SHARED_FORMULA_16_176_16_176_0" localSheetId="3">(((#REF!+#REF!+#REF!)*(1+#REF!))*(1+#REF!))</definedName>
    <definedName name="SHARED_FORMULA_16_176_16_176_0" localSheetId="2">(((#REF!+#REF!+#REF!)*(1+#REF!))*(1+#REF!))</definedName>
    <definedName name="SHARED_FORMULA_16_176_16_176_0" localSheetId="0">(((#REF!+#REF!+#REF!)*(1+#REF!))*(1+#REF!))</definedName>
    <definedName name="SHARED_FORMULA_16_176_16_176_0">(((#REF!+#REF!+#REF!)*(1+#REF!))*(1+#REF!))</definedName>
    <definedName name="SHARED_FORMULA_16_18_16_18_0">(((#REF!+#REF!+#REF!)*(1+#REF!))*(1+#REF!))</definedName>
    <definedName name="SHARED_FORMULA_16_26_16_26_0">(((#REF!+#REF!+#REF!)*(1+#REF!))*(1+#REF!))</definedName>
    <definedName name="SHARED_FORMULA_16_58_16_58_0">(((#REF!+#REF!+#REF!)*(1+#REF!))*(1+#REF!))</definedName>
    <definedName name="SHARED_FORMULA_16_7_16_7_0">(((#REF!+#REF!+#REF!)*(1+#REF!))*(1+#REF!))</definedName>
    <definedName name="SHARED_FORMULA_16_78_16_78_0">(((#REF!+#REF!+#REF!)*(1+#REF!))*(1+#REF!))</definedName>
    <definedName name="SHARED_FORMULA_16_91_16_91_0">(((#REF!+#REF!+#REF!)*(1+#REF!))*(1+#REF!))</definedName>
    <definedName name="SHARED_FORMULA_17_144_17_144_0" localSheetId="3">#REF!+#REF!</definedName>
    <definedName name="SHARED_FORMULA_17_144_17_144_0" localSheetId="2">#REF!+#REF!</definedName>
    <definedName name="SHARED_FORMULA_17_144_17_144_0" localSheetId="0">#REF!+#REF!</definedName>
    <definedName name="SHARED_FORMULA_17_144_17_144_0">#REF!+#REF!</definedName>
    <definedName name="SHARED_FORMULA_17_176_17_176_0" localSheetId="3">#REF!+#REF!</definedName>
    <definedName name="SHARED_FORMULA_17_176_17_176_0" localSheetId="2">#REF!+#REF!</definedName>
    <definedName name="SHARED_FORMULA_17_176_17_176_0" localSheetId="0">#REF!+#REF!</definedName>
    <definedName name="SHARED_FORMULA_17_176_17_176_0">#REF!+#REF!</definedName>
    <definedName name="SHARED_FORMULA_17_18_17_18_0">#REF!+#REF!</definedName>
    <definedName name="SHARED_FORMULA_17_26_17_26_0">#REF!+#REF!</definedName>
    <definedName name="SHARED_FORMULA_17_58_17_58_0">#REF!+#REF!</definedName>
    <definedName name="SHARED_FORMULA_17_7_17_7_0">#REF!+#REF!</definedName>
    <definedName name="SHARED_FORMULA_17_78_17_78_0">#REF!+#REF!</definedName>
    <definedName name="SHARED_FORMULA_17_91_17_91_0">#REF!+#REF!</definedName>
    <definedName name="SHARED_FORMULA_18_144_18_144_0" localSheetId="3">#REF!*#REF!</definedName>
    <definedName name="SHARED_FORMULA_18_144_18_144_0" localSheetId="2">#REF!*#REF!</definedName>
    <definedName name="SHARED_FORMULA_18_144_18_144_0" localSheetId="0">#REF!*#REF!</definedName>
    <definedName name="SHARED_FORMULA_18_144_18_144_0">#REF!*#REF!</definedName>
    <definedName name="SHARED_FORMULA_18_176_18_176_0" localSheetId="3">#REF!*#REF!</definedName>
    <definedName name="SHARED_FORMULA_18_176_18_176_0" localSheetId="2">#REF!*#REF!</definedName>
    <definedName name="SHARED_FORMULA_18_176_18_176_0" localSheetId="0">#REF!*#REF!</definedName>
    <definedName name="SHARED_FORMULA_18_176_18_176_0">#REF!*#REF!</definedName>
    <definedName name="SHARED_FORMULA_18_18_18_18_0">#REF!*#REF!</definedName>
    <definedName name="SHARED_FORMULA_18_26_18_26_0">#REF!*#REF!</definedName>
    <definedName name="SHARED_FORMULA_18_58_18_58_0">#REF!*#REF!</definedName>
    <definedName name="SHARED_FORMULA_18_7_18_7_0">#REF!*#REF!</definedName>
    <definedName name="SHARED_FORMULA_18_78_18_78_0">#REF!*#REF!</definedName>
    <definedName name="SHARED_FORMULA_18_91_18_91_0">#REF!*#REF!</definedName>
    <definedName name="SHARED_FORMULA_19_145_19_145_0" localSheetId="3">#REF!*#REF!</definedName>
    <definedName name="SHARED_FORMULA_19_145_19_145_0" localSheetId="2">#REF!*#REF!</definedName>
    <definedName name="SHARED_FORMULA_19_145_19_145_0" localSheetId="0">#REF!*#REF!</definedName>
    <definedName name="SHARED_FORMULA_19_145_19_145_0">#REF!*#REF!</definedName>
    <definedName name="SHARED_FORMULA_19_177_19_177_0" localSheetId="3">#REF!*#REF!</definedName>
    <definedName name="SHARED_FORMULA_19_177_19_177_0" localSheetId="2">#REF!*#REF!</definedName>
    <definedName name="SHARED_FORMULA_19_177_19_177_0" localSheetId="0">#REF!*#REF!</definedName>
    <definedName name="SHARED_FORMULA_19_177_19_177_0">#REF!*#REF!</definedName>
    <definedName name="SHARED_FORMULA_19_18_19_18_0">#REF!*#REF!</definedName>
    <definedName name="SHARED_FORMULA_19_26_19_26_0">#REF!*#REF!</definedName>
    <definedName name="SHARED_FORMULA_19_58_19_58_0">#REF!*#REF!</definedName>
    <definedName name="SHARED_FORMULA_19_7_19_7_0">#REF!*#REF!</definedName>
    <definedName name="SHARED_FORMULA_19_78_19_78_0">#REF!*#REF!</definedName>
    <definedName name="SHARED_FORMULA_19_91_19_91_0">#REF!*#REF!</definedName>
    <definedName name="SHARED_FORMULA_20_145_20_145_0" localSheetId="3">#REF!+#REF!</definedName>
    <definedName name="SHARED_FORMULA_20_145_20_145_0" localSheetId="2">#REF!+#REF!</definedName>
    <definedName name="SHARED_FORMULA_20_145_20_145_0" localSheetId="0">#REF!+#REF!</definedName>
    <definedName name="SHARED_FORMULA_20_145_20_145_0">#REF!+#REF!</definedName>
    <definedName name="SHARED_FORMULA_20_177_20_177_0" localSheetId="3">#REF!+#REF!</definedName>
    <definedName name="SHARED_FORMULA_20_177_20_177_0" localSheetId="2">#REF!+#REF!</definedName>
    <definedName name="SHARED_FORMULA_20_177_20_177_0" localSheetId="0">#REF!+#REF!</definedName>
    <definedName name="SHARED_FORMULA_20_177_20_177_0">#REF!+#REF!</definedName>
    <definedName name="SHARED_FORMULA_20_18_20_18_0">#REF!+#REF!</definedName>
    <definedName name="SHARED_FORMULA_20_26_20_26_0">#REF!+#REF!</definedName>
    <definedName name="SHARED_FORMULA_20_58_20_58_0">#REF!+#REF!</definedName>
    <definedName name="SHARED_FORMULA_20_7_20_7_0">#REF!+#REF!</definedName>
    <definedName name="SHARED_FORMULA_20_78_20_78_0">#REF!+#REF!</definedName>
    <definedName name="SHARED_FORMULA_20_91_20_91_0">#REF!+#REF!</definedName>
    <definedName name="SHARED_FORMULA_29_145_29_145_0" localSheetId="3">UPPER(#REF!)</definedName>
    <definedName name="SHARED_FORMULA_29_145_29_145_0" localSheetId="2">UPPER(#REF!)</definedName>
    <definedName name="SHARED_FORMULA_29_145_29_145_0" localSheetId="0">UPPER(#REF!)</definedName>
    <definedName name="SHARED_FORMULA_29_145_29_145_0">UPPER(#REF!)</definedName>
    <definedName name="SHARED_FORMULA_29_177_29_177_0" localSheetId="3">UPPER(#REF!)</definedName>
    <definedName name="SHARED_FORMULA_29_177_29_177_0" localSheetId="2">UPPER(#REF!)</definedName>
    <definedName name="SHARED_FORMULA_29_177_29_177_0" localSheetId="0">UPPER(#REF!)</definedName>
    <definedName name="SHARED_FORMULA_29_177_29_177_0">UPPER(#REF!)</definedName>
    <definedName name="SHARED_FORMULA_5_39_5_39_0">#REF!</definedName>
    <definedName name="SHARED_FORMULA_6_103_6_103_3" localSheetId="3">SUM(#REF!)</definedName>
    <definedName name="SHARED_FORMULA_6_103_6_103_3" localSheetId="2">SUM(#REF!)</definedName>
    <definedName name="SHARED_FORMULA_6_103_6_103_3" localSheetId="0">SUM(#REF!)</definedName>
    <definedName name="SHARED_FORMULA_6_103_6_103_3">SUM(#REF!)</definedName>
    <definedName name="SHARED_FORMULA_6_124_6_124_3" localSheetId="3">SUM(#REF!)</definedName>
    <definedName name="SHARED_FORMULA_6_124_6_124_3" localSheetId="2">SUM(#REF!)</definedName>
    <definedName name="SHARED_FORMULA_6_124_6_124_3" localSheetId="0">SUM(#REF!)</definedName>
    <definedName name="SHARED_FORMULA_6_124_6_124_3">SUM(#REF!)</definedName>
    <definedName name="SHARED_FORMULA_6_134_6_134_3" localSheetId="3">SUM(#REF!)</definedName>
    <definedName name="SHARED_FORMULA_6_134_6_134_3" localSheetId="2">SUM(#REF!)</definedName>
    <definedName name="SHARED_FORMULA_6_134_6_134_3" localSheetId="0">SUM(#REF!)</definedName>
    <definedName name="SHARED_FORMULA_6_134_6_134_3">SUM(#REF!)</definedName>
    <definedName name="SHARED_FORMULA_6_152_6_152_3" localSheetId="3">SUM(#REF!)</definedName>
    <definedName name="SHARED_FORMULA_6_152_6_152_3" localSheetId="2">SUM(#REF!)</definedName>
    <definedName name="SHARED_FORMULA_6_152_6_152_3" localSheetId="0">SUM(#REF!)</definedName>
    <definedName name="SHARED_FORMULA_6_152_6_152_3">SUM(#REF!)</definedName>
    <definedName name="SHARED_FORMULA_6_162_6_162_3" localSheetId="3">SUM(#REF!)</definedName>
    <definedName name="SHARED_FORMULA_6_162_6_162_3" localSheetId="2">SUM(#REF!)</definedName>
    <definedName name="SHARED_FORMULA_6_162_6_162_3" localSheetId="0">SUM(#REF!)</definedName>
    <definedName name="SHARED_FORMULA_6_162_6_162_3">SUM(#REF!)</definedName>
    <definedName name="SHARED_FORMULA_6_176_6_176_3" localSheetId="3">SUM(#REF!)</definedName>
    <definedName name="SHARED_FORMULA_6_176_6_176_3" localSheetId="2">SUM(#REF!)</definedName>
    <definedName name="SHARED_FORMULA_6_176_6_176_3" localSheetId="0">SUM(#REF!)</definedName>
    <definedName name="SHARED_FORMULA_6_176_6_176_3">SUM(#REF!)</definedName>
    <definedName name="SHARED_FORMULA_6_20_6_20_3" localSheetId="3">SUM(#REF!)</definedName>
    <definedName name="SHARED_FORMULA_6_20_6_20_3" localSheetId="2">SUM(#REF!)</definedName>
    <definedName name="SHARED_FORMULA_6_20_6_20_3" localSheetId="0">SUM(#REF!)</definedName>
    <definedName name="SHARED_FORMULA_6_20_6_20_3">SUM(#REF!)</definedName>
    <definedName name="SHARED_FORMULA_6_44_6_44_3" localSheetId="3">SUM(#REF!)</definedName>
    <definedName name="SHARED_FORMULA_6_44_6_44_3" localSheetId="2">SUM(#REF!)</definedName>
    <definedName name="SHARED_FORMULA_6_44_6_44_3" localSheetId="0">SUM(#REF!)</definedName>
    <definedName name="SHARED_FORMULA_6_44_6_44_3">SUM(#REF!)</definedName>
    <definedName name="SHARED_FORMULA_6_60_6_60_3" localSheetId="3">SUM(#REF!)</definedName>
    <definedName name="SHARED_FORMULA_6_60_6_60_3" localSheetId="2">SUM(#REF!)</definedName>
    <definedName name="SHARED_FORMULA_6_60_6_60_3" localSheetId="0">SUM(#REF!)</definedName>
    <definedName name="SHARED_FORMULA_6_60_6_60_3">SUM(#REF!)</definedName>
    <definedName name="SHARED_FORMULA_6_69_6_69_3" localSheetId="3">SUM(#REF!)</definedName>
    <definedName name="SHARED_FORMULA_6_69_6_69_3" localSheetId="2">SUM(#REF!)</definedName>
    <definedName name="SHARED_FORMULA_6_69_6_69_3" localSheetId="0">SUM(#REF!)</definedName>
    <definedName name="SHARED_FORMULA_6_69_6_69_3">SUM(#REF!)</definedName>
    <definedName name="SHARED_FORMULA_6_80_6_80_3" localSheetId="3">SUM(#REF!)</definedName>
    <definedName name="SHARED_FORMULA_6_80_6_80_3" localSheetId="2">SUM(#REF!)</definedName>
    <definedName name="SHARED_FORMULA_6_80_6_80_3" localSheetId="0">SUM(#REF!)</definedName>
    <definedName name="SHARED_FORMULA_6_80_6_80_3">SUM(#REF!)</definedName>
    <definedName name="SHARED_FORMULA_6_95_6_95_3" localSheetId="3">SUM(#REF!)</definedName>
    <definedName name="SHARED_FORMULA_6_95_6_95_3" localSheetId="2">SUM(#REF!)</definedName>
    <definedName name="SHARED_FORMULA_6_95_6_95_3" localSheetId="0">SUM(#REF!)</definedName>
    <definedName name="SHARED_FORMULA_6_95_6_95_3">SUM(#REF!)</definedName>
    <definedName name="SHARED_FORMULA_7_11_7_11_2">#REF!*#REF!</definedName>
    <definedName name="SHARED_FORMULA_7_31_7_31_2">#REF!*#REF!</definedName>
    <definedName name="SHARED_FORMULA_7_38_7_38_2">#REF!*#REF!</definedName>
    <definedName name="SHARED_FORMULA_7_54_7_54_2">#REF!*#REF!</definedName>
    <definedName name="SHARED_FORMULA_7_67_7_67_2">#REF!*#REF!</definedName>
    <definedName name="sqsa">#REF!</definedName>
    <definedName name="tbjan01">#REF!</definedName>
    <definedName name="TBJUL01">#REF!</definedName>
    <definedName name="_xlnm.Print_Titles" localSheetId="3">'Cronograma  GERAL'!$A:$C,'Cronograma  GERAL'!$10:$12</definedName>
    <definedName name="_xlnm.Print_Titles" localSheetId="1">'MAQUINARIOS E EQUIPAMENTOS'!$8:$10</definedName>
    <definedName name="_xlnm.Print_Titles" localSheetId="0">'OBRAS E SERVIÇOS'!$8:$8</definedName>
    <definedName name="VENDA_CANAL_DIVERSOS">#REF!</definedName>
    <definedName name="VENDA_CANAL_K">#REF!</definedName>
    <definedName name="VENDA_CANAL_PI_R">#REF!</definedName>
    <definedName name="VENDA_VIARIO_DIVERSOS">#REF!</definedName>
    <definedName name="VENDA_VIARIO_K">#REF!</definedName>
    <definedName name="VENDA_VIARIO_PI_R">#REF!</definedName>
    <definedName name="X_1">#REF!</definedName>
    <definedName name="X_2">#REF!</definedName>
    <definedName name="X_3">#REF!</definedName>
    <definedName name="X_4">#REF!</definedName>
    <definedName name="X_INT">#REF!</definedName>
    <definedName name="Y_1">#REF!</definedName>
    <definedName name="Y_2">#REF!</definedName>
    <definedName name="Y_3">#REF!</definedName>
    <definedName name="Y_4">#REF!</definedName>
  </definedNames>
  <calcPr calcId="124519"/>
</workbook>
</file>

<file path=xl/calcChain.xml><?xml version="1.0" encoding="utf-8"?>
<calcChain xmlns="http://schemas.openxmlformats.org/spreadsheetml/2006/main">
  <c r="D14" i="91"/>
  <c r="E14" s="1"/>
  <c r="D13"/>
  <c r="E13" s="1"/>
  <c r="C14"/>
  <c r="C13"/>
  <c r="B14"/>
  <c r="B13"/>
  <c r="D12"/>
  <c r="E12" s="1"/>
  <c r="D9"/>
  <c r="E9" s="1"/>
  <c r="D7"/>
  <c r="E7" s="1"/>
  <c r="D11"/>
  <c r="D8"/>
  <c r="E8" s="1"/>
  <c r="B10"/>
  <c r="E10"/>
  <c r="E11"/>
  <c r="B3"/>
  <c r="B4"/>
  <c r="B2"/>
  <c r="F54" i="90" l="1"/>
  <c r="H54" s="1"/>
  <c r="J54" s="1"/>
  <c r="L54" s="1"/>
  <c r="N54" s="1"/>
  <c r="P54" s="1"/>
  <c r="R54" s="1"/>
  <c r="T54" s="1"/>
  <c r="V54" s="1"/>
  <c r="X54" s="1"/>
  <c r="Z54" s="1"/>
  <c r="AB54" s="1"/>
  <c r="AD54" s="1"/>
  <c r="AF54" s="1"/>
  <c r="AH54" s="1"/>
  <c r="AJ54" s="1"/>
  <c r="AL54" s="1"/>
  <c r="AN54" s="1"/>
  <c r="F75"/>
  <c r="H75" s="1"/>
  <c r="J75" s="1"/>
  <c r="L75" s="1"/>
  <c r="N75" s="1"/>
  <c r="P75" s="1"/>
  <c r="R75" s="1"/>
  <c r="T75" s="1"/>
  <c r="V75" s="1"/>
  <c r="X75" s="1"/>
  <c r="Z75" s="1"/>
  <c r="AB75" s="1"/>
  <c r="AD75" s="1"/>
  <c r="AF75" s="1"/>
  <c r="AH75" s="1"/>
  <c r="AJ75" s="1"/>
  <c r="AL75" s="1"/>
  <c r="AN75" s="1"/>
  <c r="F76"/>
  <c r="H76"/>
  <c r="J76" s="1"/>
  <c r="L76" s="1"/>
  <c r="N76" s="1"/>
  <c r="P76" s="1"/>
  <c r="R76" s="1"/>
  <c r="T76" s="1"/>
  <c r="V76" s="1"/>
  <c r="X76" s="1"/>
  <c r="Z76" s="1"/>
  <c r="AB76" s="1"/>
  <c r="AD76" s="1"/>
  <c r="AF76" s="1"/>
  <c r="AH76" s="1"/>
  <c r="AJ76" s="1"/>
  <c r="AL76" s="1"/>
  <c r="AN76" s="1"/>
  <c r="F77"/>
  <c r="H77" s="1"/>
  <c r="J77" s="1"/>
  <c r="L77" s="1"/>
  <c r="N77" s="1"/>
  <c r="P77" s="1"/>
  <c r="R77" s="1"/>
  <c r="T77" s="1"/>
  <c r="V77" s="1"/>
  <c r="X77" s="1"/>
  <c r="Z77" s="1"/>
  <c r="AB77" s="1"/>
  <c r="AD77" s="1"/>
  <c r="AF77" s="1"/>
  <c r="AH77" s="1"/>
  <c r="AJ77" s="1"/>
  <c r="AL77" s="1"/>
  <c r="AN77" s="1"/>
  <c r="F78"/>
  <c r="H78" s="1"/>
  <c r="J78" s="1"/>
  <c r="L78" s="1"/>
  <c r="N78" s="1"/>
  <c r="P78" s="1"/>
  <c r="R78" s="1"/>
  <c r="T78" s="1"/>
  <c r="V78" s="1"/>
  <c r="X78" s="1"/>
  <c r="Z78" s="1"/>
  <c r="AB78" s="1"/>
  <c r="AD78" s="1"/>
  <c r="AF78" s="1"/>
  <c r="AH78" s="1"/>
  <c r="AJ78" s="1"/>
  <c r="AL78" s="1"/>
  <c r="AN78" s="1"/>
  <c r="F79"/>
  <c r="H79" s="1"/>
  <c r="J79" s="1"/>
  <c r="L79" s="1"/>
  <c r="N79" s="1"/>
  <c r="P79" s="1"/>
  <c r="R79" s="1"/>
  <c r="T79" s="1"/>
  <c r="V79" s="1"/>
  <c r="X79" s="1"/>
  <c r="Z79" s="1"/>
  <c r="AB79" s="1"/>
  <c r="AD79" s="1"/>
  <c r="AF79" s="1"/>
  <c r="AH79" s="1"/>
  <c r="AJ79" s="1"/>
  <c r="AL79" s="1"/>
  <c r="AN79" s="1"/>
  <c r="F80"/>
  <c r="H80" s="1"/>
  <c r="J80" s="1"/>
  <c r="L80" s="1"/>
  <c r="N80" s="1"/>
  <c r="P80" s="1"/>
  <c r="R80" s="1"/>
  <c r="T80" s="1"/>
  <c r="V80" s="1"/>
  <c r="X80" s="1"/>
  <c r="Z80" s="1"/>
  <c r="AB80" s="1"/>
  <c r="AD80" s="1"/>
  <c r="AF80" s="1"/>
  <c r="AH80" s="1"/>
  <c r="F81"/>
  <c r="H81" s="1"/>
  <c r="J81" s="1"/>
  <c r="L81" s="1"/>
  <c r="N81" s="1"/>
  <c r="P81" s="1"/>
  <c r="R81" s="1"/>
  <c r="T81" s="1"/>
  <c r="V81" s="1"/>
  <c r="X81" s="1"/>
  <c r="Z81" s="1"/>
  <c r="AB81" s="1"/>
  <c r="AD81" s="1"/>
  <c r="AF81" s="1"/>
  <c r="AH81" s="1"/>
  <c r="AJ81" s="1"/>
  <c r="AL81" s="1"/>
  <c r="AN81" s="1"/>
  <c r="F82"/>
  <c r="H82" s="1"/>
  <c r="J82" s="1"/>
  <c r="L82" s="1"/>
  <c r="N82" s="1"/>
  <c r="P82" s="1"/>
  <c r="R82" s="1"/>
  <c r="T82" s="1"/>
  <c r="V82" s="1"/>
  <c r="X82" s="1"/>
  <c r="Z82" s="1"/>
  <c r="AB82" s="1"/>
  <c r="AD82" s="1"/>
  <c r="AF82" s="1"/>
  <c r="AH82" s="1"/>
  <c r="AJ82" s="1"/>
  <c r="F83"/>
  <c r="H83" s="1"/>
  <c r="J83" s="1"/>
  <c r="L83" s="1"/>
  <c r="N83" s="1"/>
  <c r="P83" s="1"/>
  <c r="R83" s="1"/>
  <c r="T83" s="1"/>
  <c r="V83" s="1"/>
  <c r="X83" s="1"/>
  <c r="Z83" s="1"/>
  <c r="AB83" s="1"/>
  <c r="AD83" s="1"/>
  <c r="AF83" s="1"/>
  <c r="AH83" s="1"/>
  <c r="AJ83" s="1"/>
  <c r="AL83" s="1"/>
  <c r="AN83" s="1"/>
  <c r="F84"/>
  <c r="H84"/>
  <c r="J84" s="1"/>
  <c r="L84" s="1"/>
  <c r="N84" s="1"/>
  <c r="P84" s="1"/>
  <c r="R84" s="1"/>
  <c r="T84" s="1"/>
  <c r="V84" s="1"/>
  <c r="X84" s="1"/>
  <c r="Z84" s="1"/>
  <c r="AB84" s="1"/>
  <c r="AD84" s="1"/>
  <c r="AF84" s="1"/>
  <c r="AH84" s="1"/>
  <c r="AJ84" s="1"/>
  <c r="F48"/>
  <c r="H48" s="1"/>
  <c r="J48" s="1"/>
  <c r="L48" s="1"/>
  <c r="N48" s="1"/>
  <c r="P48" s="1"/>
  <c r="R48" s="1"/>
  <c r="T48" s="1"/>
  <c r="V48" s="1"/>
  <c r="X48" s="1"/>
  <c r="Z48" s="1"/>
  <c r="AB48" s="1"/>
  <c r="AD48" s="1"/>
  <c r="AF48" s="1"/>
  <c r="AH48" s="1"/>
  <c r="AJ48" s="1"/>
  <c r="AL48" s="1"/>
  <c r="AN48" s="1"/>
  <c r="F46"/>
  <c r="H46" s="1"/>
  <c r="J46" s="1"/>
  <c r="L46" s="1"/>
  <c r="N46" s="1"/>
  <c r="P46" s="1"/>
  <c r="R46" s="1"/>
  <c r="T46" s="1"/>
  <c r="V46" s="1"/>
  <c r="X46" s="1"/>
  <c r="Z46" s="1"/>
  <c r="AB46" s="1"/>
  <c r="AD46" s="1"/>
  <c r="AF46" s="1"/>
  <c r="AH46" s="1"/>
  <c r="AJ46" s="1"/>
  <c r="AL46" s="1"/>
  <c r="AN46" s="1"/>
  <c r="F44"/>
  <c r="H44" s="1"/>
  <c r="J44" s="1"/>
  <c r="L44" s="1"/>
  <c r="N44" s="1"/>
  <c r="P44" s="1"/>
  <c r="R44" s="1"/>
  <c r="T44" s="1"/>
  <c r="V44" s="1"/>
  <c r="X44" s="1"/>
  <c r="Z44" s="1"/>
  <c r="AB44" s="1"/>
  <c r="AD44" s="1"/>
  <c r="AF44" s="1"/>
  <c r="AH44" s="1"/>
  <c r="AJ44" s="1"/>
  <c r="AL44" s="1"/>
  <c r="AN44" s="1"/>
  <c r="F40"/>
  <c r="H40" s="1"/>
  <c r="J40" s="1"/>
  <c r="L40" s="1"/>
  <c r="N40" s="1"/>
  <c r="P40" s="1"/>
  <c r="R40" s="1"/>
  <c r="T40" s="1"/>
  <c r="V40" s="1"/>
  <c r="X40" s="1"/>
  <c r="Z40" s="1"/>
  <c r="AB40" s="1"/>
  <c r="AD40" s="1"/>
  <c r="AF40" s="1"/>
  <c r="AH40" s="1"/>
  <c r="AJ40" s="1"/>
  <c r="AL40" s="1"/>
  <c r="AN40" s="1"/>
  <c r="F37"/>
  <c r="H37" s="1"/>
  <c r="J37" s="1"/>
  <c r="L37" s="1"/>
  <c r="N37" s="1"/>
  <c r="P37" s="1"/>
  <c r="R37" s="1"/>
  <c r="T37" s="1"/>
  <c r="V37" s="1"/>
  <c r="X37" s="1"/>
  <c r="Z37" s="1"/>
  <c r="AB37" s="1"/>
  <c r="AD37" s="1"/>
  <c r="AF37" s="1"/>
  <c r="AH37" s="1"/>
  <c r="AJ37" s="1"/>
  <c r="AL37" s="1"/>
  <c r="AN37" s="1"/>
  <c r="F35"/>
  <c r="H35" s="1"/>
  <c r="J35" s="1"/>
  <c r="L35" s="1"/>
  <c r="N35" s="1"/>
  <c r="P35" s="1"/>
  <c r="R35" s="1"/>
  <c r="T35" s="1"/>
  <c r="V35" s="1"/>
  <c r="X35" s="1"/>
  <c r="Z35" s="1"/>
  <c r="AB35" s="1"/>
  <c r="AD35" s="1"/>
  <c r="AF35" s="1"/>
  <c r="AH35" s="1"/>
  <c r="AJ35" s="1"/>
  <c r="AL35" s="1"/>
  <c r="AN35" s="1"/>
  <c r="F31"/>
  <c r="H31" s="1"/>
  <c r="J31" s="1"/>
  <c r="L31" s="1"/>
  <c r="N31" s="1"/>
  <c r="P31" s="1"/>
  <c r="R31" s="1"/>
  <c r="T31" s="1"/>
  <c r="V31" s="1"/>
  <c r="X31" s="1"/>
  <c r="Z31" s="1"/>
  <c r="AB31" s="1"/>
  <c r="AD31" s="1"/>
  <c r="AF31" s="1"/>
  <c r="AH31" s="1"/>
  <c r="AJ31" s="1"/>
  <c r="AL31" s="1"/>
  <c r="AN31" s="1"/>
  <c r="F29"/>
  <c r="H29" s="1"/>
  <c r="J29" s="1"/>
  <c r="L29" s="1"/>
  <c r="N29" s="1"/>
  <c r="P29" s="1"/>
  <c r="R29" s="1"/>
  <c r="T29" s="1"/>
  <c r="V29" s="1"/>
  <c r="X29" s="1"/>
  <c r="Z29" s="1"/>
  <c r="AB29" s="1"/>
  <c r="AD29" s="1"/>
  <c r="AF29" s="1"/>
  <c r="AH29" s="1"/>
  <c r="AJ29" s="1"/>
  <c r="AL29" s="1"/>
  <c r="AN29" s="1"/>
  <c r="F28"/>
  <c r="H28" s="1"/>
  <c r="J28" s="1"/>
  <c r="L28" s="1"/>
  <c r="N28" s="1"/>
  <c r="P28" s="1"/>
  <c r="R28" s="1"/>
  <c r="T28" s="1"/>
  <c r="V28" s="1"/>
  <c r="X28" s="1"/>
  <c r="Z28" s="1"/>
  <c r="AB28" s="1"/>
  <c r="AD28" s="1"/>
  <c r="AF28" s="1"/>
  <c r="AH28" s="1"/>
  <c r="AJ28" s="1"/>
  <c r="AL28" s="1"/>
  <c r="AN28" s="1"/>
  <c r="F26"/>
  <c r="H26" s="1"/>
  <c r="J26" s="1"/>
  <c r="L26" s="1"/>
  <c r="N26" s="1"/>
  <c r="P26" s="1"/>
  <c r="R26" s="1"/>
  <c r="T26" s="1"/>
  <c r="V26" s="1"/>
  <c r="X26" s="1"/>
  <c r="Z26" s="1"/>
  <c r="AB26" s="1"/>
  <c r="AD26" s="1"/>
  <c r="AF26" s="1"/>
  <c r="AH26" s="1"/>
  <c r="AJ26" s="1"/>
  <c r="AL26" s="1"/>
  <c r="AN26" s="1"/>
  <c r="F23"/>
  <c r="H23" s="1"/>
  <c r="J23" s="1"/>
  <c r="L23" s="1"/>
  <c r="N23" s="1"/>
  <c r="P23" s="1"/>
  <c r="R23" s="1"/>
  <c r="T23" s="1"/>
  <c r="V23" s="1"/>
  <c r="X23" s="1"/>
  <c r="Z23" s="1"/>
  <c r="AB23" s="1"/>
  <c r="AD23" s="1"/>
  <c r="AF23" s="1"/>
  <c r="AH23" s="1"/>
  <c r="AJ23" s="1"/>
  <c r="AL23" s="1"/>
  <c r="AN23" s="1"/>
  <c r="F21"/>
  <c r="H21" s="1"/>
  <c r="J21" s="1"/>
  <c r="L21" s="1"/>
  <c r="N21" s="1"/>
  <c r="P21" s="1"/>
  <c r="R21" s="1"/>
  <c r="T21" s="1"/>
  <c r="V21" s="1"/>
  <c r="X21" s="1"/>
  <c r="Z21" s="1"/>
  <c r="AB21" s="1"/>
  <c r="AD21" s="1"/>
  <c r="AF21" s="1"/>
  <c r="AH21" s="1"/>
  <c r="AJ21" s="1"/>
  <c r="AL21" s="1"/>
  <c r="AN21" s="1"/>
  <c r="B84"/>
  <c r="B83"/>
  <c r="B82"/>
  <c r="B81"/>
  <c r="B80"/>
  <c r="B79"/>
  <c r="B78"/>
  <c r="B77"/>
  <c r="B76"/>
  <c r="B75"/>
  <c r="B74"/>
  <c r="B73"/>
  <c r="C72"/>
  <c r="B72"/>
  <c r="B71"/>
  <c r="B70"/>
  <c r="C69"/>
  <c r="B69"/>
  <c r="B68"/>
  <c r="B67"/>
  <c r="C66"/>
  <c r="B66"/>
  <c r="B65"/>
  <c r="B64"/>
  <c r="B63"/>
  <c r="B62"/>
  <c r="C61"/>
  <c r="B61"/>
  <c r="B60"/>
  <c r="B59"/>
  <c r="B58"/>
  <c r="C57"/>
  <c r="B57"/>
  <c r="C56"/>
  <c r="B56"/>
  <c r="B55"/>
  <c r="B54"/>
  <c r="AL84" l="1"/>
  <c r="AN84" s="1"/>
  <c r="AL82"/>
  <c r="AN82" s="1"/>
  <c r="AJ80"/>
  <c r="AL80" s="1"/>
  <c r="AN80" s="1"/>
  <c r="B48"/>
  <c r="B46"/>
  <c r="B44"/>
  <c r="B40"/>
  <c r="B37"/>
  <c r="B35"/>
  <c r="B31"/>
  <c r="B29"/>
  <c r="B28"/>
  <c r="B26"/>
  <c r="B23"/>
  <c r="B21"/>
  <c r="F74"/>
  <c r="H74" s="1"/>
  <c r="J74" s="1"/>
  <c r="L74" s="1"/>
  <c r="N74" s="1"/>
  <c r="P74" s="1"/>
  <c r="R74" s="1"/>
  <c r="T74" s="1"/>
  <c r="V74" s="1"/>
  <c r="X74" s="1"/>
  <c r="Z74" s="1"/>
  <c r="AB74" s="1"/>
  <c r="AD74" s="1"/>
  <c r="AF74" s="1"/>
  <c r="AH74" s="1"/>
  <c r="AJ74" s="1"/>
  <c r="AL74" s="1"/>
  <c r="AN74" s="1"/>
  <c r="F73"/>
  <c r="H73" s="1"/>
  <c r="J73" s="1"/>
  <c r="L73" s="1"/>
  <c r="N73" s="1"/>
  <c r="P73" s="1"/>
  <c r="R73" s="1"/>
  <c r="T73" s="1"/>
  <c r="V73" s="1"/>
  <c r="X73" s="1"/>
  <c r="Z73" s="1"/>
  <c r="AB73" s="1"/>
  <c r="AD73" s="1"/>
  <c r="AF73" s="1"/>
  <c r="AH73" s="1"/>
  <c r="AJ73" s="1"/>
  <c r="AL73" s="1"/>
  <c r="AN73" s="1"/>
  <c r="F72"/>
  <c r="H72" s="1"/>
  <c r="J72" s="1"/>
  <c r="L72" s="1"/>
  <c r="N72" s="1"/>
  <c r="P72" s="1"/>
  <c r="R72" s="1"/>
  <c r="T72" s="1"/>
  <c r="V72" s="1"/>
  <c r="X72" s="1"/>
  <c r="Z72" s="1"/>
  <c r="AB72" s="1"/>
  <c r="AD72" s="1"/>
  <c r="AF72" s="1"/>
  <c r="AH72" s="1"/>
  <c r="AJ72" s="1"/>
  <c r="AL72" s="1"/>
  <c r="AN72" s="1"/>
  <c r="F71"/>
  <c r="H71" s="1"/>
  <c r="J71" s="1"/>
  <c r="L71" s="1"/>
  <c r="N71" s="1"/>
  <c r="P71" s="1"/>
  <c r="R71" s="1"/>
  <c r="T71" s="1"/>
  <c r="V71" s="1"/>
  <c r="X71" s="1"/>
  <c r="Z71" s="1"/>
  <c r="AB71" s="1"/>
  <c r="AD71" s="1"/>
  <c r="AF71" s="1"/>
  <c r="AH71" s="1"/>
  <c r="AJ71" s="1"/>
  <c r="AL71" s="1"/>
  <c r="AN71" s="1"/>
  <c r="F70"/>
  <c r="H70" s="1"/>
  <c r="J70" s="1"/>
  <c r="L70" s="1"/>
  <c r="N70" s="1"/>
  <c r="P70" s="1"/>
  <c r="R70" s="1"/>
  <c r="T70" s="1"/>
  <c r="V70" s="1"/>
  <c r="X70" s="1"/>
  <c r="Z70" s="1"/>
  <c r="AB70" s="1"/>
  <c r="AD70" s="1"/>
  <c r="AF70" s="1"/>
  <c r="AH70" s="1"/>
  <c r="AJ70" s="1"/>
  <c r="AL70" s="1"/>
  <c r="AN70" s="1"/>
  <c r="F69"/>
  <c r="H69" s="1"/>
  <c r="J69" s="1"/>
  <c r="L69" s="1"/>
  <c r="N69" s="1"/>
  <c r="P69" s="1"/>
  <c r="R69" s="1"/>
  <c r="T69" s="1"/>
  <c r="V69" s="1"/>
  <c r="X69" s="1"/>
  <c r="Z69" s="1"/>
  <c r="AB69" s="1"/>
  <c r="AD69" s="1"/>
  <c r="AF69" s="1"/>
  <c r="AH69" s="1"/>
  <c r="AJ69" s="1"/>
  <c r="AL69" s="1"/>
  <c r="AN69" s="1"/>
  <c r="F68"/>
  <c r="H68" s="1"/>
  <c r="J68" s="1"/>
  <c r="L68" s="1"/>
  <c r="N68" s="1"/>
  <c r="P68" s="1"/>
  <c r="R68" s="1"/>
  <c r="T68" s="1"/>
  <c r="V68" s="1"/>
  <c r="X68" s="1"/>
  <c r="Z68" s="1"/>
  <c r="AB68" s="1"/>
  <c r="AD68" s="1"/>
  <c r="AF68" s="1"/>
  <c r="AH68" s="1"/>
  <c r="AJ68" s="1"/>
  <c r="AL68" s="1"/>
  <c r="AN68" s="1"/>
  <c r="H67"/>
  <c r="J67" s="1"/>
  <c r="L67" s="1"/>
  <c r="N67" s="1"/>
  <c r="P67" s="1"/>
  <c r="R67" s="1"/>
  <c r="T67" s="1"/>
  <c r="V67" s="1"/>
  <c r="X67" s="1"/>
  <c r="Z67" s="1"/>
  <c r="AB67" s="1"/>
  <c r="AD67" s="1"/>
  <c r="AF67" s="1"/>
  <c r="AH67" s="1"/>
  <c r="AJ67" s="1"/>
  <c r="AL67" s="1"/>
  <c r="AN67" s="1"/>
  <c r="F67"/>
  <c r="F66"/>
  <c r="H66" s="1"/>
  <c r="J66" s="1"/>
  <c r="L66" s="1"/>
  <c r="N66" s="1"/>
  <c r="P66" s="1"/>
  <c r="R66" s="1"/>
  <c r="T66" s="1"/>
  <c r="V66" s="1"/>
  <c r="X66" s="1"/>
  <c r="Z66" s="1"/>
  <c r="AB66" s="1"/>
  <c r="AD66" s="1"/>
  <c r="AF66" s="1"/>
  <c r="AH66" s="1"/>
  <c r="AJ66" s="1"/>
  <c r="AL66" s="1"/>
  <c r="AN66" s="1"/>
  <c r="F65"/>
  <c r="H65" s="1"/>
  <c r="J65" s="1"/>
  <c r="L65" s="1"/>
  <c r="N65" s="1"/>
  <c r="P65" s="1"/>
  <c r="R65" s="1"/>
  <c r="T65" s="1"/>
  <c r="V65" s="1"/>
  <c r="X65" s="1"/>
  <c r="Z65" s="1"/>
  <c r="AB65" s="1"/>
  <c r="AD65" s="1"/>
  <c r="AF65" s="1"/>
  <c r="AH65" s="1"/>
  <c r="AJ65" s="1"/>
  <c r="AL65" s="1"/>
  <c r="AN65" s="1"/>
  <c r="F64"/>
  <c r="H64" s="1"/>
  <c r="J64" s="1"/>
  <c r="L64" s="1"/>
  <c r="N64" s="1"/>
  <c r="P64" s="1"/>
  <c r="R64" s="1"/>
  <c r="T64" s="1"/>
  <c r="V64" s="1"/>
  <c r="X64" s="1"/>
  <c r="Z64" s="1"/>
  <c r="AB64" s="1"/>
  <c r="AD64" s="1"/>
  <c r="AF64" s="1"/>
  <c r="AH64" s="1"/>
  <c r="AJ64" s="1"/>
  <c r="AL64" s="1"/>
  <c r="AN64" s="1"/>
  <c r="F63"/>
  <c r="H63" s="1"/>
  <c r="J63" s="1"/>
  <c r="L63" s="1"/>
  <c r="N63" s="1"/>
  <c r="P63" s="1"/>
  <c r="R63" s="1"/>
  <c r="T63" s="1"/>
  <c r="V63" s="1"/>
  <c r="X63" s="1"/>
  <c r="Z63" s="1"/>
  <c r="AB63" s="1"/>
  <c r="AD63" s="1"/>
  <c r="AF63" s="1"/>
  <c r="AH63" s="1"/>
  <c r="AJ63" s="1"/>
  <c r="AL63" s="1"/>
  <c r="AN63" s="1"/>
  <c r="F62"/>
  <c r="H62" s="1"/>
  <c r="J62" s="1"/>
  <c r="L62" s="1"/>
  <c r="N62" s="1"/>
  <c r="P62" s="1"/>
  <c r="R62" s="1"/>
  <c r="T62" s="1"/>
  <c r="V62" s="1"/>
  <c r="X62" s="1"/>
  <c r="Z62" s="1"/>
  <c r="AB62" s="1"/>
  <c r="AD62" s="1"/>
  <c r="AF62" s="1"/>
  <c r="AH62" s="1"/>
  <c r="AJ62" s="1"/>
  <c r="AL62" s="1"/>
  <c r="AN62" s="1"/>
  <c r="F61"/>
  <c r="H61" s="1"/>
  <c r="J61" s="1"/>
  <c r="L61" s="1"/>
  <c r="N61" s="1"/>
  <c r="P61" s="1"/>
  <c r="R61" s="1"/>
  <c r="T61" s="1"/>
  <c r="V61" s="1"/>
  <c r="X61" s="1"/>
  <c r="Z61" s="1"/>
  <c r="AB61" s="1"/>
  <c r="AD61" s="1"/>
  <c r="AF61" s="1"/>
  <c r="AH61" s="1"/>
  <c r="AJ61" s="1"/>
  <c r="AL61" s="1"/>
  <c r="AN61" s="1"/>
  <c r="F60"/>
  <c r="H60" s="1"/>
  <c r="J60" s="1"/>
  <c r="L60" s="1"/>
  <c r="N60" s="1"/>
  <c r="P60" s="1"/>
  <c r="R60" s="1"/>
  <c r="T60" s="1"/>
  <c r="V60" s="1"/>
  <c r="X60" s="1"/>
  <c r="Z60" s="1"/>
  <c r="AB60" s="1"/>
  <c r="AD60" s="1"/>
  <c r="AF60" s="1"/>
  <c r="AH60" s="1"/>
  <c r="AJ60" s="1"/>
  <c r="AL60" s="1"/>
  <c r="AN60" s="1"/>
  <c r="F59"/>
  <c r="H59" s="1"/>
  <c r="J59" s="1"/>
  <c r="L59" s="1"/>
  <c r="N59" s="1"/>
  <c r="P59" s="1"/>
  <c r="R59" s="1"/>
  <c r="T59" s="1"/>
  <c r="V59" s="1"/>
  <c r="X59" s="1"/>
  <c r="Z59" s="1"/>
  <c r="AB59" s="1"/>
  <c r="AD59" s="1"/>
  <c r="AF59" s="1"/>
  <c r="AH59" s="1"/>
  <c r="AJ59" s="1"/>
  <c r="AL59" s="1"/>
  <c r="AN59" s="1"/>
  <c r="F58"/>
  <c r="H58" s="1"/>
  <c r="J58" s="1"/>
  <c r="L58" s="1"/>
  <c r="N58" s="1"/>
  <c r="P58" s="1"/>
  <c r="R58" s="1"/>
  <c r="T58" s="1"/>
  <c r="V58" s="1"/>
  <c r="X58" s="1"/>
  <c r="Z58" s="1"/>
  <c r="AB58" s="1"/>
  <c r="AD58" s="1"/>
  <c r="AF58" s="1"/>
  <c r="AH58" s="1"/>
  <c r="AJ58" s="1"/>
  <c r="AL58" s="1"/>
  <c r="AN58" s="1"/>
  <c r="F57"/>
  <c r="H57" s="1"/>
  <c r="J57" s="1"/>
  <c r="L57" s="1"/>
  <c r="N57" s="1"/>
  <c r="P57" s="1"/>
  <c r="R57" s="1"/>
  <c r="T57" s="1"/>
  <c r="V57" s="1"/>
  <c r="X57" s="1"/>
  <c r="Z57" s="1"/>
  <c r="AB57" s="1"/>
  <c r="AD57" s="1"/>
  <c r="AF57" s="1"/>
  <c r="AH57" s="1"/>
  <c r="AJ57" s="1"/>
  <c r="AL57" s="1"/>
  <c r="AN57" s="1"/>
  <c r="F56"/>
  <c r="H56" s="1"/>
  <c r="J56" s="1"/>
  <c r="L56" s="1"/>
  <c r="N56" s="1"/>
  <c r="P56" s="1"/>
  <c r="R56" s="1"/>
  <c r="T56" s="1"/>
  <c r="V56" s="1"/>
  <c r="X56" s="1"/>
  <c r="Z56" s="1"/>
  <c r="AB56" s="1"/>
  <c r="AD56" s="1"/>
  <c r="AF56" s="1"/>
  <c r="AH56" s="1"/>
  <c r="AJ56" s="1"/>
  <c r="AL56" s="1"/>
  <c r="AN56" s="1"/>
  <c r="F55"/>
  <c r="H55" s="1"/>
  <c r="J55" s="1"/>
  <c r="L55" s="1"/>
  <c r="N55" s="1"/>
  <c r="P55" s="1"/>
  <c r="R55" s="1"/>
  <c r="T55" s="1"/>
  <c r="V55" s="1"/>
  <c r="X55" s="1"/>
  <c r="Z55" s="1"/>
  <c r="AB55" s="1"/>
  <c r="AD55" s="1"/>
  <c r="AF55" s="1"/>
  <c r="AH55" s="1"/>
  <c r="AJ55" s="1"/>
  <c r="AL55" s="1"/>
  <c r="AN55" s="1"/>
  <c r="F50"/>
  <c r="H50" s="1"/>
  <c r="J50" s="1"/>
  <c r="L50" s="1"/>
  <c r="N50" s="1"/>
  <c r="P50" s="1"/>
  <c r="R50" s="1"/>
  <c r="T50" s="1"/>
  <c r="V50" s="1"/>
  <c r="X50" s="1"/>
  <c r="Z50" s="1"/>
  <c r="AB50" s="1"/>
  <c r="AD50" s="1"/>
  <c r="AF50" s="1"/>
  <c r="AH50" s="1"/>
  <c r="AJ50" s="1"/>
  <c r="AL50" s="1"/>
  <c r="AN50" s="1"/>
  <c r="F49"/>
  <c r="H49" s="1"/>
  <c r="J49" s="1"/>
  <c r="L49" s="1"/>
  <c r="N49" s="1"/>
  <c r="P49" s="1"/>
  <c r="R49" s="1"/>
  <c r="T49" s="1"/>
  <c r="V49" s="1"/>
  <c r="X49" s="1"/>
  <c r="Z49" s="1"/>
  <c r="AB49" s="1"/>
  <c r="AD49" s="1"/>
  <c r="AF49" s="1"/>
  <c r="AH49" s="1"/>
  <c r="AJ49" s="1"/>
  <c r="AL49" s="1"/>
  <c r="AN49" s="1"/>
  <c r="F47"/>
  <c r="H47" s="1"/>
  <c r="J47" s="1"/>
  <c r="L47" s="1"/>
  <c r="N47" s="1"/>
  <c r="P47" s="1"/>
  <c r="R47" s="1"/>
  <c r="T47" s="1"/>
  <c r="V47" s="1"/>
  <c r="X47" s="1"/>
  <c r="Z47" s="1"/>
  <c r="AB47" s="1"/>
  <c r="AD47" s="1"/>
  <c r="AF47" s="1"/>
  <c r="AH47" s="1"/>
  <c r="AJ47" s="1"/>
  <c r="AL47" s="1"/>
  <c r="AN47" s="1"/>
  <c r="F45"/>
  <c r="H45" s="1"/>
  <c r="J45" s="1"/>
  <c r="L45" s="1"/>
  <c r="N45" s="1"/>
  <c r="P45" s="1"/>
  <c r="R45" s="1"/>
  <c r="T45" s="1"/>
  <c r="V45" s="1"/>
  <c r="X45" s="1"/>
  <c r="Z45" s="1"/>
  <c r="AB45" s="1"/>
  <c r="AD45" s="1"/>
  <c r="AF45" s="1"/>
  <c r="AH45" s="1"/>
  <c r="AJ45" s="1"/>
  <c r="AL45" s="1"/>
  <c r="AN45" s="1"/>
  <c r="F43"/>
  <c r="H43" s="1"/>
  <c r="J43" s="1"/>
  <c r="L43" s="1"/>
  <c r="N43" s="1"/>
  <c r="P43" s="1"/>
  <c r="R43" s="1"/>
  <c r="T43" s="1"/>
  <c r="V43" s="1"/>
  <c r="X43" s="1"/>
  <c r="Z43" s="1"/>
  <c r="AB43" s="1"/>
  <c r="AD43" s="1"/>
  <c r="AF43" s="1"/>
  <c r="AH43" s="1"/>
  <c r="AJ43" s="1"/>
  <c r="AL43" s="1"/>
  <c r="AN43" s="1"/>
  <c r="F42"/>
  <c r="H42" s="1"/>
  <c r="J42" s="1"/>
  <c r="L42" s="1"/>
  <c r="N42" s="1"/>
  <c r="P42" s="1"/>
  <c r="R42" s="1"/>
  <c r="T42" s="1"/>
  <c r="V42" s="1"/>
  <c r="X42" s="1"/>
  <c r="Z42" s="1"/>
  <c r="AB42" s="1"/>
  <c r="AD42" s="1"/>
  <c r="AF42" s="1"/>
  <c r="AH42" s="1"/>
  <c r="AJ42" s="1"/>
  <c r="AL42" s="1"/>
  <c r="AN42" s="1"/>
  <c r="F41"/>
  <c r="H41" s="1"/>
  <c r="J41" s="1"/>
  <c r="L41" s="1"/>
  <c r="N41" s="1"/>
  <c r="P41" s="1"/>
  <c r="R41" s="1"/>
  <c r="T41" s="1"/>
  <c r="V41" s="1"/>
  <c r="X41" s="1"/>
  <c r="Z41" s="1"/>
  <c r="AB41" s="1"/>
  <c r="AD41" s="1"/>
  <c r="AF41" s="1"/>
  <c r="AH41" s="1"/>
  <c r="AJ41" s="1"/>
  <c r="AL41" s="1"/>
  <c r="AN41" s="1"/>
  <c r="F39"/>
  <c r="H39" s="1"/>
  <c r="J39" s="1"/>
  <c r="L39" s="1"/>
  <c r="N39" s="1"/>
  <c r="P39" s="1"/>
  <c r="R39" s="1"/>
  <c r="T39" s="1"/>
  <c r="V39" s="1"/>
  <c r="X39" s="1"/>
  <c r="Z39" s="1"/>
  <c r="AB39" s="1"/>
  <c r="AD39" s="1"/>
  <c r="AF39" s="1"/>
  <c r="AH39" s="1"/>
  <c r="AJ39" s="1"/>
  <c r="AL39" s="1"/>
  <c r="AN39" s="1"/>
  <c r="F38"/>
  <c r="H38" s="1"/>
  <c r="J38" s="1"/>
  <c r="L38" s="1"/>
  <c r="N38" s="1"/>
  <c r="P38" s="1"/>
  <c r="R38" s="1"/>
  <c r="T38" s="1"/>
  <c r="V38" s="1"/>
  <c r="X38" s="1"/>
  <c r="Z38" s="1"/>
  <c r="AB38" s="1"/>
  <c r="AD38" s="1"/>
  <c r="AF38" s="1"/>
  <c r="AH38" s="1"/>
  <c r="AJ38" s="1"/>
  <c r="AL38" s="1"/>
  <c r="AN38" s="1"/>
  <c r="F36"/>
  <c r="H36" s="1"/>
  <c r="J36" s="1"/>
  <c r="L36" s="1"/>
  <c r="N36" s="1"/>
  <c r="P36" s="1"/>
  <c r="R36" s="1"/>
  <c r="T36" s="1"/>
  <c r="V36" s="1"/>
  <c r="X36" s="1"/>
  <c r="Z36" s="1"/>
  <c r="AB36" s="1"/>
  <c r="AD36" s="1"/>
  <c r="AF36" s="1"/>
  <c r="AH36" s="1"/>
  <c r="AJ36" s="1"/>
  <c r="AL36" s="1"/>
  <c r="AN36" s="1"/>
  <c r="F34"/>
  <c r="H34" s="1"/>
  <c r="J34" s="1"/>
  <c r="L34" s="1"/>
  <c r="N34" s="1"/>
  <c r="P34" s="1"/>
  <c r="R34" s="1"/>
  <c r="T34" s="1"/>
  <c r="V34" s="1"/>
  <c r="X34" s="1"/>
  <c r="Z34" s="1"/>
  <c r="AB34" s="1"/>
  <c r="AD34" s="1"/>
  <c r="AF34" s="1"/>
  <c r="AH34" s="1"/>
  <c r="AJ34" s="1"/>
  <c r="AL34" s="1"/>
  <c r="AN34" s="1"/>
  <c r="J33"/>
  <c r="L33" s="1"/>
  <c r="N33" s="1"/>
  <c r="P33" s="1"/>
  <c r="R33" s="1"/>
  <c r="T33" s="1"/>
  <c r="V33" s="1"/>
  <c r="X33" s="1"/>
  <c r="Z33" s="1"/>
  <c r="AB33" s="1"/>
  <c r="AD33" s="1"/>
  <c r="AF33" s="1"/>
  <c r="AH33" s="1"/>
  <c r="AJ33" s="1"/>
  <c r="AL33" s="1"/>
  <c r="AN33" s="1"/>
  <c r="F33"/>
  <c r="H33" s="1"/>
  <c r="F32"/>
  <c r="H32" s="1"/>
  <c r="J32" s="1"/>
  <c r="L32" s="1"/>
  <c r="N32" s="1"/>
  <c r="P32" s="1"/>
  <c r="R32" s="1"/>
  <c r="T32" s="1"/>
  <c r="V32" s="1"/>
  <c r="X32" s="1"/>
  <c r="Z32" s="1"/>
  <c r="AB32" s="1"/>
  <c r="AD32" s="1"/>
  <c r="AF32" s="1"/>
  <c r="AH32" s="1"/>
  <c r="AJ32" s="1"/>
  <c r="AL32" s="1"/>
  <c r="AN32" s="1"/>
  <c r="F30"/>
  <c r="H30" s="1"/>
  <c r="J30" s="1"/>
  <c r="L30" s="1"/>
  <c r="N30" s="1"/>
  <c r="P30" s="1"/>
  <c r="R30" s="1"/>
  <c r="T30" s="1"/>
  <c r="V30" s="1"/>
  <c r="X30" s="1"/>
  <c r="Z30" s="1"/>
  <c r="AB30" s="1"/>
  <c r="AD30" s="1"/>
  <c r="AF30" s="1"/>
  <c r="AH30" s="1"/>
  <c r="AJ30" s="1"/>
  <c r="AL30" s="1"/>
  <c r="AN30" s="1"/>
  <c r="F27"/>
  <c r="H27" s="1"/>
  <c r="J27" s="1"/>
  <c r="L27" s="1"/>
  <c r="N27" s="1"/>
  <c r="P27" s="1"/>
  <c r="R27" s="1"/>
  <c r="T27" s="1"/>
  <c r="V27" s="1"/>
  <c r="X27" s="1"/>
  <c r="Z27" s="1"/>
  <c r="AB27" s="1"/>
  <c r="AD27" s="1"/>
  <c r="AF27" s="1"/>
  <c r="AH27" s="1"/>
  <c r="AJ27" s="1"/>
  <c r="AL27" s="1"/>
  <c r="AN27" s="1"/>
  <c r="F25"/>
  <c r="H25" s="1"/>
  <c r="J25" s="1"/>
  <c r="L25" s="1"/>
  <c r="N25" s="1"/>
  <c r="P25" s="1"/>
  <c r="R25" s="1"/>
  <c r="T25" s="1"/>
  <c r="V25" s="1"/>
  <c r="X25" s="1"/>
  <c r="Z25" s="1"/>
  <c r="AB25" s="1"/>
  <c r="AD25" s="1"/>
  <c r="AF25" s="1"/>
  <c r="AH25" s="1"/>
  <c r="AJ25" s="1"/>
  <c r="AL25" s="1"/>
  <c r="AN25" s="1"/>
  <c r="F24"/>
  <c r="H24" s="1"/>
  <c r="J24" s="1"/>
  <c r="L24" s="1"/>
  <c r="N24" s="1"/>
  <c r="P24" s="1"/>
  <c r="R24" s="1"/>
  <c r="T24" s="1"/>
  <c r="V24" s="1"/>
  <c r="X24" s="1"/>
  <c r="Z24" s="1"/>
  <c r="AB24" s="1"/>
  <c r="AD24" s="1"/>
  <c r="AF24" s="1"/>
  <c r="AH24" s="1"/>
  <c r="AJ24" s="1"/>
  <c r="AL24" s="1"/>
  <c r="AN24" s="1"/>
  <c r="F22"/>
  <c r="H22" s="1"/>
  <c r="J22" s="1"/>
  <c r="L22" s="1"/>
  <c r="N22" s="1"/>
  <c r="P22" s="1"/>
  <c r="R22" s="1"/>
  <c r="T22" s="1"/>
  <c r="V22" s="1"/>
  <c r="X22" s="1"/>
  <c r="Z22" s="1"/>
  <c r="AB22" s="1"/>
  <c r="AD22" s="1"/>
  <c r="AF22" s="1"/>
  <c r="AH22" s="1"/>
  <c r="AJ22" s="1"/>
  <c r="AL22" s="1"/>
  <c r="AN22" s="1"/>
  <c r="R20"/>
  <c r="T20" s="1"/>
  <c r="V20" s="1"/>
  <c r="X20" s="1"/>
  <c r="Z20" s="1"/>
  <c r="AB20" s="1"/>
  <c r="AD20" s="1"/>
  <c r="AF20" s="1"/>
  <c r="AH20" s="1"/>
  <c r="AJ20" s="1"/>
  <c r="AL20" s="1"/>
  <c r="AN20" s="1"/>
  <c r="F20"/>
  <c r="H20" s="1"/>
  <c r="J20" s="1"/>
  <c r="L20" s="1"/>
  <c r="N20" s="1"/>
  <c r="P20" s="1"/>
  <c r="F19"/>
  <c r="H19" s="1"/>
  <c r="J19" s="1"/>
  <c r="L19" s="1"/>
  <c r="N19" s="1"/>
  <c r="P19" s="1"/>
  <c r="R19" s="1"/>
  <c r="T19" s="1"/>
  <c r="V19" s="1"/>
  <c r="X19" s="1"/>
  <c r="Z19" s="1"/>
  <c r="AB19" s="1"/>
  <c r="AD19" s="1"/>
  <c r="AF19" s="1"/>
  <c r="AH19" s="1"/>
  <c r="AJ19" s="1"/>
  <c r="AL19" s="1"/>
  <c r="AN19" s="1"/>
  <c r="L18"/>
  <c r="N18" s="1"/>
  <c r="P18" s="1"/>
  <c r="R18" s="1"/>
  <c r="T18" s="1"/>
  <c r="V18" s="1"/>
  <c r="X18" s="1"/>
  <c r="Z18" s="1"/>
  <c r="AB18" s="1"/>
  <c r="AD18" s="1"/>
  <c r="AF18" s="1"/>
  <c r="AH18" s="1"/>
  <c r="AJ18" s="1"/>
  <c r="AL18" s="1"/>
  <c r="AN18" s="1"/>
  <c r="F18"/>
  <c r="H18" s="1"/>
  <c r="J18" s="1"/>
  <c r="F17"/>
  <c r="H17" s="1"/>
  <c r="J17" s="1"/>
  <c r="L17" s="1"/>
  <c r="N17" s="1"/>
  <c r="P17" s="1"/>
  <c r="R17" s="1"/>
  <c r="T17" s="1"/>
  <c r="V17" s="1"/>
  <c r="X17" s="1"/>
  <c r="Z17" s="1"/>
  <c r="AB17" s="1"/>
  <c r="AD17" s="1"/>
  <c r="AF17" s="1"/>
  <c r="AH17" s="1"/>
  <c r="AJ17" s="1"/>
  <c r="AL17" s="1"/>
  <c r="AN17" s="1"/>
  <c r="F16"/>
  <c r="H16" s="1"/>
  <c r="J16" s="1"/>
  <c r="L16" s="1"/>
  <c r="N16" s="1"/>
  <c r="P16" s="1"/>
  <c r="R16" s="1"/>
  <c r="T16" s="1"/>
  <c r="V16" s="1"/>
  <c r="X16" s="1"/>
  <c r="Z16" s="1"/>
  <c r="AB16" s="1"/>
  <c r="AD16" s="1"/>
  <c r="AF16" s="1"/>
  <c r="AH16" s="1"/>
  <c r="AJ16" s="1"/>
  <c r="AL16" s="1"/>
  <c r="AN16" s="1"/>
  <c r="F15"/>
  <c r="H15" s="1"/>
  <c r="J15" s="1"/>
  <c r="L15" s="1"/>
  <c r="N15" s="1"/>
  <c r="P15" s="1"/>
  <c r="R15" s="1"/>
  <c r="T15" s="1"/>
  <c r="V15" s="1"/>
  <c r="X15" s="1"/>
  <c r="Z15" s="1"/>
  <c r="AB15" s="1"/>
  <c r="AD15" s="1"/>
  <c r="AF15" s="1"/>
  <c r="AH15" s="1"/>
  <c r="AJ15" s="1"/>
  <c r="AL15" s="1"/>
  <c r="AN15" s="1"/>
  <c r="I14"/>
  <c r="K14" s="1"/>
  <c r="M14" s="1"/>
  <c r="O14" s="1"/>
  <c r="F14"/>
  <c r="H14" s="1"/>
  <c r="A6"/>
  <c r="A5"/>
  <c r="A4"/>
  <c r="J14" l="1"/>
  <c r="L14" s="1"/>
  <c r="N14" s="1"/>
  <c r="P14" s="1"/>
  <c r="Q14"/>
  <c r="S14" l="1"/>
  <c r="R14"/>
  <c r="T14" s="1"/>
  <c r="U14" l="1"/>
  <c r="W14" l="1"/>
  <c r="V14"/>
  <c r="Y14" l="1"/>
  <c r="X14"/>
  <c r="Z14" s="1"/>
  <c r="AA14" l="1"/>
  <c r="AC14" l="1"/>
  <c r="AB14"/>
  <c r="AD14" s="1"/>
  <c r="AE14" l="1"/>
  <c r="AG14" l="1"/>
  <c r="AF14"/>
  <c r="AH14" l="1"/>
  <c r="AI14"/>
  <c r="AK14" l="1"/>
  <c r="AJ14"/>
  <c r="AL14" s="1"/>
  <c r="AM14" l="1"/>
  <c r="AN14" l="1"/>
  <c r="K297" i="79" l="1"/>
  <c r="K1638" l="1"/>
  <c r="K1637"/>
  <c r="K1594"/>
  <c r="K1588"/>
  <c r="K1587"/>
  <c r="K1586"/>
  <c r="K1585"/>
  <c r="K1492"/>
  <c r="K1491"/>
  <c r="K1248"/>
  <c r="K1247"/>
  <c r="K1246"/>
  <c r="K1245"/>
  <c r="K1244"/>
  <c r="K1157"/>
  <c r="K1156"/>
  <c r="K1130"/>
  <c r="K960"/>
  <c r="K897"/>
  <c r="K896"/>
  <c r="K824"/>
  <c r="K821"/>
  <c r="K812"/>
  <c r="K811"/>
  <c r="K770"/>
  <c r="K656"/>
  <c r="K655"/>
  <c r="K651"/>
  <c r="K602"/>
  <c r="K600"/>
  <c r="K455"/>
  <c r="K308"/>
  <c r="K174"/>
  <c r="K117"/>
  <c r="K98"/>
  <c r="K86"/>
  <c r="K85"/>
  <c r="K79"/>
  <c r="K77"/>
  <c r="K72"/>
  <c r="K37"/>
  <c r="K1728"/>
  <c r="K1716"/>
  <c r="K1666"/>
  <c r="K1665"/>
  <c r="K1664"/>
  <c r="K1663"/>
  <c r="K1662"/>
  <c r="K1661"/>
  <c r="K1657"/>
  <c r="K1655"/>
  <c r="K1654"/>
  <c r="K1650"/>
  <c r="K1649"/>
  <c r="K1648"/>
  <c r="K1647"/>
  <c r="K1646"/>
  <c r="K1645"/>
  <c r="K1642"/>
  <c r="K1641"/>
  <c r="K1632"/>
  <c r="K1631"/>
  <c r="K1619"/>
  <c r="K1617"/>
  <c r="K1616"/>
  <c r="K1615"/>
  <c r="K1614"/>
  <c r="K1613"/>
  <c r="K1612"/>
  <c r="K1608"/>
  <c r="K1605"/>
  <c r="K1604"/>
  <c r="K1603"/>
  <c r="K1602"/>
  <c r="K1601"/>
  <c r="K1600"/>
  <c r="K1599"/>
  <c r="K1596"/>
  <c r="K1592"/>
  <c r="K1591"/>
  <c r="K1590"/>
  <c r="K1581"/>
  <c r="K1531"/>
  <c r="K1529"/>
  <c r="K1528"/>
  <c r="K1527"/>
  <c r="K1526"/>
  <c r="K1525"/>
  <c r="K1524"/>
  <c r="K1510"/>
  <c r="K1509"/>
  <c r="K1508"/>
  <c r="K1507"/>
  <c r="K1506"/>
  <c r="K1505"/>
  <c r="K1504"/>
  <c r="K1520"/>
  <c r="K1518"/>
  <c r="K1517"/>
  <c r="K1515"/>
  <c r="K1514"/>
  <c r="K1493"/>
  <c r="K1477"/>
  <c r="K1476"/>
  <c r="K1475"/>
  <c r="K1484"/>
  <c r="K1483"/>
  <c r="K1472"/>
  <c r="K1470"/>
  <c r="K1467"/>
  <c r="K1466"/>
  <c r="K1465"/>
  <c r="K1464"/>
  <c r="K1463"/>
  <c r="K1451"/>
  <c r="K1450"/>
  <c r="K1449"/>
  <c r="K1448"/>
  <c r="K1447"/>
  <c r="K1446"/>
  <c r="K1444"/>
  <c r="K1443"/>
  <c r="K1441"/>
  <c r="K1440"/>
  <c r="K1438"/>
  <c r="K1425"/>
  <c r="K1424"/>
  <c r="K1423"/>
  <c r="K1422"/>
  <c r="K1421"/>
  <c r="K1419"/>
  <c r="K1418"/>
  <c r="K1417"/>
  <c r="K1414"/>
  <c r="K1413"/>
  <c r="K1412"/>
  <c r="K1410"/>
  <c r="K1409"/>
  <c r="K1408"/>
  <c r="K1407"/>
  <c r="K1406"/>
  <c r="K1405"/>
  <c r="K1404"/>
  <c r="K1403"/>
  <c r="K1402"/>
  <c r="K1401"/>
  <c r="K1399"/>
  <c r="K1398"/>
  <c r="K1397"/>
  <c r="K1393"/>
  <c r="K1392"/>
  <c r="K1391"/>
  <c r="K1389"/>
  <c r="K1388"/>
  <c r="K1383"/>
  <c r="K1357"/>
  <c r="K1356"/>
  <c r="K1355"/>
  <c r="K1354"/>
  <c r="K1353"/>
  <c r="K1352"/>
  <c r="K1350"/>
  <c r="K1349"/>
  <c r="K1344"/>
  <c r="K1342"/>
  <c r="K1339"/>
  <c r="K1338"/>
  <c r="K1336"/>
  <c r="K1333"/>
  <c r="K1332"/>
  <c r="K1331"/>
  <c r="K1329"/>
  <c r="K1323"/>
  <c r="K1322"/>
  <c r="K1320"/>
  <c r="K1319"/>
  <c r="K1318"/>
  <c r="K1313"/>
  <c r="K1309"/>
  <c r="K1308"/>
  <c r="K1306"/>
  <c r="K1305"/>
  <c r="K1304"/>
  <c r="K1302"/>
  <c r="K1301"/>
  <c r="K1300"/>
  <c r="K1286"/>
  <c r="K1281"/>
  <c r="K1280"/>
  <c r="K1279"/>
  <c r="K1278"/>
  <c r="K1277"/>
  <c r="K1276"/>
  <c r="K1272"/>
  <c r="K1270"/>
  <c r="K1264"/>
  <c r="K1263"/>
  <c r="K1260"/>
  <c r="K1258"/>
  <c r="K1256"/>
  <c r="K1255"/>
  <c r="K1252"/>
  <c r="K1251"/>
  <c r="K1250"/>
  <c r="K1249"/>
  <c r="K1236"/>
  <c r="K1235"/>
  <c r="K1233"/>
  <c r="K1220"/>
  <c r="K1207"/>
  <c r="K1206"/>
  <c r="K1205"/>
  <c r="K1201"/>
  <c r="K1200"/>
  <c r="K1199"/>
  <c r="K1198"/>
  <c r="K1196"/>
  <c r="K1195"/>
  <c r="K1194"/>
  <c r="K1192"/>
  <c r="K1188"/>
  <c r="K1186"/>
  <c r="K1183"/>
  <c r="K1182"/>
  <c r="K1168"/>
  <c r="K1166"/>
  <c r="K1165"/>
  <c r="K1164"/>
  <c r="K1163"/>
  <c r="K1162"/>
  <c r="K1160"/>
  <c r="K1154"/>
  <c r="K1153"/>
  <c r="K1149"/>
  <c r="K1148"/>
  <c r="K1144"/>
  <c r="K1142"/>
  <c r="K1141"/>
  <c r="K1129"/>
  <c r="K1127"/>
  <c r="K1126"/>
  <c r="K1125"/>
  <c r="K1122"/>
  <c r="K1120"/>
  <c r="K1119"/>
  <c r="K1118"/>
  <c r="K1117"/>
  <c r="K1116"/>
  <c r="K1115"/>
  <c r="K1103"/>
  <c r="K1102"/>
  <c r="K1101"/>
  <c r="K1100"/>
  <c r="K1098"/>
  <c r="K1096"/>
  <c r="K1095"/>
  <c r="K1094"/>
  <c r="K1092"/>
  <c r="K1080"/>
  <c r="K1078"/>
  <c r="K1077"/>
  <c r="K1076"/>
  <c r="K1075"/>
  <c r="K1074"/>
  <c r="K1072"/>
  <c r="K1069"/>
  <c r="K1067"/>
  <c r="K1065"/>
  <c r="K1060"/>
  <c r="K1063"/>
  <c r="K1057"/>
  <c r="K1054"/>
  <c r="K1053"/>
  <c r="K1052"/>
  <c r="K1048"/>
  <c r="K1046"/>
  <c r="K1045"/>
  <c r="K1044"/>
  <c r="K1043"/>
  <c r="K1042"/>
  <c r="K1041"/>
  <c r="K1030"/>
  <c r="K1029"/>
  <c r="K1026"/>
  <c r="K1024"/>
  <c r="K1023"/>
  <c r="K1022"/>
  <c r="K1021"/>
  <c r="K1020"/>
  <c r="K1019"/>
  <c r="K1018"/>
  <c r="K1017"/>
  <c r="K1016"/>
  <c r="K1015"/>
  <c r="K1012"/>
  <c r="K1011"/>
  <c r="K1009"/>
  <c r="K1008"/>
  <c r="K1007"/>
  <c r="K1006"/>
  <c r="K1005"/>
  <c r="K1004"/>
  <c r="K1002"/>
  <c r="K1000"/>
  <c r="K997"/>
  <c r="K995"/>
  <c r="K984"/>
  <c r="K983"/>
  <c r="K979"/>
  <c r="K976"/>
  <c r="K975"/>
  <c r="K973"/>
  <c r="K961"/>
  <c r="K959"/>
  <c r="K958"/>
  <c r="K957"/>
  <c r="K955"/>
  <c r="K954"/>
  <c r="K953"/>
  <c r="K950"/>
  <c r="K949"/>
  <c r="K948"/>
  <c r="K947"/>
  <c r="K946"/>
  <c r="K944"/>
  <c r="K943"/>
  <c r="K942"/>
  <c r="K941"/>
  <c r="K940"/>
  <c r="K939"/>
  <c r="K938"/>
  <c r="K937"/>
  <c r="K935"/>
  <c r="K932"/>
  <c r="K926"/>
  <c r="K916"/>
  <c r="K914"/>
  <c r="K913"/>
  <c r="K912"/>
  <c r="K911"/>
  <c r="K910"/>
  <c r="K909"/>
  <c r="K908"/>
  <c r="K907"/>
  <c r="K906"/>
  <c r="K902"/>
  <c r="K901"/>
  <c r="K899"/>
  <c r="K888"/>
  <c r="K887"/>
  <c r="K876"/>
  <c r="K875"/>
  <c r="K871"/>
  <c r="K869"/>
  <c r="K868"/>
  <c r="K867"/>
  <c r="K866"/>
  <c r="K864"/>
  <c r="K863"/>
  <c r="K862"/>
  <c r="K861"/>
  <c r="K860"/>
  <c r="K859"/>
  <c r="K858"/>
  <c r="K857"/>
  <c r="K856"/>
  <c r="K855"/>
  <c r="K854"/>
  <c r="K852"/>
  <c r="K851"/>
  <c r="K837"/>
  <c r="K835"/>
  <c r="K834"/>
  <c r="K833"/>
  <c r="K832"/>
  <c r="K831"/>
  <c r="K830"/>
  <c r="K826"/>
  <c r="K820"/>
  <c r="K818"/>
  <c r="K817"/>
  <c r="K816"/>
  <c r="K815"/>
  <c r="K814"/>
  <c r="K807"/>
  <c r="K806"/>
  <c r="K805"/>
  <c r="K804"/>
  <c r="K802"/>
  <c r="K801"/>
  <c r="K790"/>
  <c r="K789"/>
  <c r="K759"/>
  <c r="K758"/>
  <c r="K710"/>
  <c r="K708"/>
  <c r="K706"/>
  <c r="K703"/>
  <c r="K702"/>
  <c r="K701"/>
  <c r="K700"/>
  <c r="K699"/>
  <c r="K695"/>
  <c r="K687"/>
  <c r="K688"/>
  <c r="K689"/>
  <c r="K690"/>
  <c r="K691"/>
  <c r="K692"/>
  <c r="K693"/>
  <c r="K696"/>
  <c r="K685"/>
  <c r="K684"/>
  <c r="K683"/>
  <c r="K680"/>
  <c r="K679"/>
  <c r="K678"/>
  <c r="K677"/>
  <c r="K676"/>
  <c r="K675"/>
  <c r="K672"/>
  <c r="K671"/>
  <c r="K670"/>
  <c r="K669"/>
  <c r="K668"/>
  <c r="K664"/>
  <c r="K663"/>
  <c r="K662"/>
  <c r="K661"/>
  <c r="K649"/>
  <c r="K647"/>
  <c r="K646"/>
  <c r="K599"/>
  <c r="K556"/>
  <c r="K555"/>
  <c r="K536"/>
  <c r="K532"/>
  <c r="K529"/>
  <c r="K521"/>
  <c r="K520"/>
  <c r="K519"/>
  <c r="K504"/>
  <c r="K502"/>
  <c r="K500"/>
  <c r="K474"/>
  <c r="K473"/>
  <c r="K459"/>
  <c r="K457"/>
  <c r="K445"/>
  <c r="K444"/>
  <c r="K442"/>
  <c r="K441"/>
  <c r="K440"/>
  <c r="K439"/>
  <c r="K428"/>
  <c r="K426"/>
  <c r="K425"/>
  <c r="K424"/>
  <c r="K423"/>
  <c r="K422"/>
  <c r="K421"/>
  <c r="K419"/>
  <c r="K418"/>
  <c r="K417"/>
  <c r="K416"/>
  <c r="K414"/>
  <c r="K413"/>
  <c r="K410"/>
  <c r="K409"/>
  <c r="K408"/>
  <c r="K406"/>
  <c r="K405"/>
  <c r="K404"/>
  <c r="K403"/>
  <c r="K402"/>
  <c r="K400"/>
  <c r="K399"/>
  <c r="K398"/>
  <c r="K397"/>
  <c r="K396"/>
  <c r="K395"/>
  <c r="K394"/>
  <c r="K393"/>
  <c r="K392"/>
  <c r="K376"/>
  <c r="K374"/>
  <c r="K373"/>
  <c r="K367"/>
  <c r="K361"/>
  <c r="K360"/>
  <c r="K358"/>
  <c r="K357"/>
  <c r="K355"/>
  <c r="K354"/>
  <c r="K334"/>
  <c r="K333"/>
  <c r="K331"/>
  <c r="K330"/>
  <c r="K329"/>
  <c r="K328"/>
  <c r="K327"/>
  <c r="K326"/>
  <c r="K325"/>
  <c r="K323"/>
  <c r="K322"/>
  <c r="K321"/>
  <c r="K320"/>
  <c r="K319"/>
  <c r="K318"/>
  <c r="K317"/>
  <c r="K315"/>
  <c r="K314"/>
  <c r="K313"/>
  <c r="K312"/>
  <c r="K311"/>
  <c r="K310"/>
  <c r="K307"/>
  <c r="K306"/>
  <c r="K305"/>
  <c r="K304"/>
  <c r="K303"/>
  <c r="K302"/>
  <c r="K301"/>
  <c r="K300"/>
  <c r="K293"/>
  <c r="K292"/>
  <c r="K291"/>
  <c r="K290"/>
  <c r="K289"/>
  <c r="K288"/>
  <c r="K287"/>
  <c r="K286"/>
  <c r="K285"/>
  <c r="K284"/>
  <c r="K283"/>
  <c r="K282"/>
  <c r="K281"/>
  <c r="K280"/>
  <c r="K279"/>
  <c r="K278"/>
  <c r="K277"/>
  <c r="K276"/>
  <c r="K275"/>
  <c r="K274"/>
  <c r="K273"/>
  <c r="K272"/>
  <c r="K270"/>
  <c r="K269"/>
  <c r="K268"/>
  <c r="K267"/>
  <c r="K266"/>
  <c r="K265"/>
  <c r="K264"/>
  <c r="K263"/>
  <c r="K262"/>
  <c r="K261"/>
  <c r="K258"/>
  <c r="K257"/>
  <c r="K256"/>
  <c r="K255"/>
  <c r="K254"/>
  <c r="K242"/>
  <c r="K241"/>
  <c r="K239"/>
  <c r="K235"/>
  <c r="K234"/>
  <c r="K226"/>
  <c r="K225"/>
  <c r="K221"/>
  <c r="K220"/>
  <c r="K218"/>
  <c r="K217"/>
  <c r="K216"/>
  <c r="K215"/>
  <c r="K214"/>
  <c r="K213"/>
  <c r="K211"/>
  <c r="K210"/>
  <c r="K209"/>
  <c r="K208"/>
  <c r="K207"/>
  <c r="K201"/>
  <c r="K194"/>
  <c r="K193"/>
  <c r="K192"/>
  <c r="K190"/>
  <c r="K189"/>
  <c r="K163"/>
  <c r="K162"/>
  <c r="K161"/>
  <c r="K160"/>
  <c r="K159"/>
  <c r="K158"/>
  <c r="K157"/>
  <c r="K156"/>
  <c r="K154"/>
  <c r="K153"/>
  <c r="K152"/>
  <c r="K151"/>
  <c r="K149"/>
  <c r="K148"/>
  <c r="K147"/>
  <c r="K145"/>
  <c r="K143"/>
  <c r="K142"/>
  <c r="K141"/>
  <c r="K140"/>
  <c r="K139"/>
  <c r="K137"/>
  <c r="K136"/>
  <c r="K135"/>
  <c r="K134"/>
  <c r="K133"/>
  <c r="K132"/>
  <c r="K118"/>
  <c r="K115"/>
  <c r="K114"/>
  <c r="K113"/>
  <c r="K112"/>
  <c r="K110"/>
  <c r="K109"/>
  <c r="K93"/>
  <c r="K90"/>
  <c r="K89"/>
  <c r="K87"/>
  <c r="K83"/>
  <c r="K76"/>
  <c r="K70"/>
  <c r="K68"/>
  <c r="K67"/>
  <c r="K66"/>
  <c r="K65"/>
  <c r="K63"/>
  <c r="K60"/>
  <c r="K54"/>
  <c r="K45"/>
  <c r="K44"/>
  <c r="K42"/>
  <c r="K41"/>
  <c r="K34"/>
  <c r="K33"/>
  <c r="K28"/>
  <c r="K27"/>
  <c r="K26"/>
  <c r="K25"/>
  <c r="K24"/>
  <c r="K17"/>
  <c r="K18"/>
  <c r="K19"/>
  <c r="K20"/>
  <c r="K21"/>
  <c r="K16"/>
  <c r="M1340" i="86" l="1"/>
  <c r="M854"/>
  <c r="S541"/>
  <c r="M58"/>
  <c r="K1432" i="79" l="1"/>
  <c r="G1432"/>
  <c r="H1432"/>
  <c r="E1432"/>
  <c r="F1432"/>
  <c r="K1729" l="1"/>
  <c r="H1732"/>
  <c r="H1683"/>
  <c r="H1669"/>
  <c r="G1729"/>
  <c r="H1729"/>
  <c r="E1729"/>
  <c r="F1729"/>
  <c r="K1726"/>
  <c r="E1726"/>
  <c r="F1726"/>
  <c r="G1726"/>
  <c r="H1726"/>
  <c r="K1725"/>
  <c r="E1725"/>
  <c r="F1725"/>
  <c r="G1725"/>
  <c r="H1725"/>
  <c r="K1724"/>
  <c r="E1724"/>
  <c r="F1724"/>
  <c r="G1724"/>
  <c r="H1724"/>
  <c r="K1723"/>
  <c r="E1723"/>
  <c r="F1723"/>
  <c r="G1723"/>
  <c r="H1723"/>
  <c r="K1722"/>
  <c r="G1722"/>
  <c r="H1722"/>
  <c r="E1722"/>
  <c r="F1722"/>
  <c r="K1721"/>
  <c r="E1721"/>
  <c r="F1721"/>
  <c r="G1721"/>
  <c r="H1721"/>
  <c r="K1720"/>
  <c r="G1720"/>
  <c r="H1720"/>
  <c r="E1720"/>
  <c r="F1720"/>
  <c r="K1718"/>
  <c r="E1718"/>
  <c r="F1718"/>
  <c r="G1718"/>
  <c r="H1718"/>
  <c r="K1717"/>
  <c r="G1717"/>
  <c r="H1717"/>
  <c r="E1717"/>
  <c r="F1717"/>
  <c r="K1715"/>
  <c r="G1715"/>
  <c r="H1715"/>
  <c r="E1715"/>
  <c r="F1715"/>
  <c r="K1712"/>
  <c r="G1712"/>
  <c r="H1712"/>
  <c r="E1712"/>
  <c r="F1712"/>
  <c r="K1710"/>
  <c r="G1710"/>
  <c r="H1710"/>
  <c r="E1710"/>
  <c r="F1710"/>
  <c r="K1708"/>
  <c r="E1708"/>
  <c r="F1708"/>
  <c r="G1708"/>
  <c r="H1708"/>
  <c r="K1707"/>
  <c r="G1707"/>
  <c r="H1707"/>
  <c r="E1707"/>
  <c r="F1707"/>
  <c r="K1701"/>
  <c r="G1701"/>
  <c r="H1701"/>
  <c r="E1701"/>
  <c r="F1701"/>
  <c r="K1699"/>
  <c r="E1699"/>
  <c r="F1699"/>
  <c r="G1699"/>
  <c r="H1699"/>
  <c r="K1698"/>
  <c r="E1698"/>
  <c r="F1698"/>
  <c r="G1698"/>
  <c r="H1698"/>
  <c r="K1697"/>
  <c r="E1697"/>
  <c r="F1697"/>
  <c r="G1697"/>
  <c r="H1697"/>
  <c r="K1696"/>
  <c r="G1696"/>
  <c r="H1696"/>
  <c r="E1696"/>
  <c r="F1696"/>
  <c r="K1694"/>
  <c r="E1694"/>
  <c r="F1694"/>
  <c r="G1694"/>
  <c r="H1694"/>
  <c r="K1693"/>
  <c r="E1693"/>
  <c r="F1693"/>
  <c r="G1693"/>
  <c r="H1693"/>
  <c r="K1692"/>
  <c r="E1692"/>
  <c r="F1692"/>
  <c r="G1692"/>
  <c r="H1692"/>
  <c r="K1691"/>
  <c r="G1691"/>
  <c r="H1691"/>
  <c r="E1691"/>
  <c r="F1691"/>
  <c r="K1680"/>
  <c r="E1680"/>
  <c r="F1680"/>
  <c r="G1680"/>
  <c r="H1680"/>
  <c r="K1679"/>
  <c r="G1679"/>
  <c r="H1679"/>
  <c r="E1679"/>
  <c r="F1679"/>
  <c r="K1660"/>
  <c r="E1660"/>
  <c r="F1660"/>
  <c r="G1660"/>
  <c r="H1660"/>
  <c r="K1659"/>
  <c r="E1659"/>
  <c r="F1659"/>
  <c r="G1659"/>
  <c r="H1659"/>
  <c r="K1658"/>
  <c r="G1658"/>
  <c r="H1658"/>
  <c r="E1658"/>
  <c r="F1658"/>
  <c r="K1643"/>
  <c r="G1643"/>
  <c r="H1643"/>
  <c r="E1643"/>
  <c r="F1643"/>
  <c r="K1640"/>
  <c r="E1640"/>
  <c r="F1640"/>
  <c r="G1640"/>
  <c r="H1640"/>
  <c r="K1639"/>
  <c r="G1639"/>
  <c r="H1639"/>
  <c r="E1639"/>
  <c r="F1639"/>
  <c r="K1636"/>
  <c r="E1636"/>
  <c r="F1636"/>
  <c r="G1636"/>
  <c r="H1636"/>
  <c r="K1635"/>
  <c r="E1635"/>
  <c r="F1635"/>
  <c r="G1635"/>
  <c r="H1635"/>
  <c r="K1634"/>
  <c r="G1634"/>
  <c r="H1634"/>
  <c r="E1634"/>
  <c r="F1634"/>
  <c r="K1611"/>
  <c r="E1611"/>
  <c r="F1611"/>
  <c r="G1611"/>
  <c r="H1611"/>
  <c r="K1610"/>
  <c r="E1610"/>
  <c r="F1610"/>
  <c r="G1610"/>
  <c r="H1610"/>
  <c r="K1609"/>
  <c r="G1609"/>
  <c r="H1609"/>
  <c r="E1609"/>
  <c r="F1609"/>
  <c r="K1597"/>
  <c r="G1597"/>
  <c r="H1597"/>
  <c r="E1597"/>
  <c r="F1597"/>
  <c r="K1593"/>
  <c r="G1593"/>
  <c r="H1593"/>
  <c r="E1593"/>
  <c r="F1593"/>
  <c r="K1589"/>
  <c r="G1589"/>
  <c r="H1589"/>
  <c r="E1589"/>
  <c r="F1589"/>
  <c r="K1584"/>
  <c r="E1584"/>
  <c r="F1584"/>
  <c r="G1584"/>
  <c r="H1584"/>
  <c r="K1583"/>
  <c r="G1583"/>
  <c r="H1583"/>
  <c r="E1583"/>
  <c r="F1583"/>
  <c r="K1570"/>
  <c r="E1570"/>
  <c r="F1570"/>
  <c r="G1570"/>
  <c r="H1570"/>
  <c r="K1569"/>
  <c r="E1569"/>
  <c r="F1569"/>
  <c r="G1569"/>
  <c r="H1569"/>
  <c r="K1568"/>
  <c r="G1568"/>
  <c r="H1568"/>
  <c r="E1568"/>
  <c r="F1568"/>
  <c r="K1564"/>
  <c r="G1564"/>
  <c r="H1564"/>
  <c r="E1564"/>
  <c r="F1564"/>
  <c r="K1562"/>
  <c r="E1562"/>
  <c r="F1562"/>
  <c r="G1562"/>
  <c r="H1562"/>
  <c r="K1561"/>
  <c r="E1561"/>
  <c r="F1561"/>
  <c r="G1561"/>
  <c r="H1561"/>
  <c r="K1560"/>
  <c r="G1560"/>
  <c r="H1560"/>
  <c r="E1560"/>
  <c r="F1560"/>
  <c r="K1555"/>
  <c r="G1555"/>
  <c r="H1555"/>
  <c r="E1555"/>
  <c r="F1555"/>
  <c r="K1553"/>
  <c r="E1553"/>
  <c r="F1553"/>
  <c r="G1553"/>
  <c r="H1553"/>
  <c r="K1552"/>
  <c r="E1552"/>
  <c r="F1552"/>
  <c r="G1552"/>
  <c r="H1552"/>
  <c r="K1551"/>
  <c r="E1551"/>
  <c r="F1551"/>
  <c r="G1551"/>
  <c r="H1551"/>
  <c r="K1550"/>
  <c r="E1550"/>
  <c r="F1550"/>
  <c r="G1550"/>
  <c r="H1550"/>
  <c r="K1549"/>
  <c r="E1549"/>
  <c r="F1549"/>
  <c r="G1549"/>
  <c r="H1549"/>
  <c r="K1548"/>
  <c r="G1548"/>
  <c r="H1548"/>
  <c r="E1548"/>
  <c r="F1548"/>
  <c r="K1546"/>
  <c r="E1546"/>
  <c r="F1546"/>
  <c r="G1546"/>
  <c r="H1546"/>
  <c r="K1545"/>
  <c r="E1545"/>
  <c r="F1545"/>
  <c r="G1545"/>
  <c r="H1545"/>
  <c r="K1544"/>
  <c r="G1544"/>
  <c r="H1544"/>
  <c r="E1544"/>
  <c r="F1544"/>
  <c r="K1523"/>
  <c r="E1523"/>
  <c r="F1523"/>
  <c r="G1523"/>
  <c r="H1523"/>
  <c r="K1522"/>
  <c r="E1522"/>
  <c r="F1522"/>
  <c r="G1522"/>
  <c r="H1522"/>
  <c r="K1521"/>
  <c r="G1521"/>
  <c r="H1521"/>
  <c r="E1521"/>
  <c r="F1521"/>
  <c r="K1502"/>
  <c r="E1502"/>
  <c r="F1502"/>
  <c r="G1502"/>
  <c r="H1502"/>
  <c r="K1501"/>
  <c r="E1501"/>
  <c r="F1501"/>
  <c r="G1501"/>
  <c r="H1501"/>
  <c r="K1500"/>
  <c r="E1500"/>
  <c r="F1500"/>
  <c r="G1500"/>
  <c r="H1500"/>
  <c r="K1499"/>
  <c r="E1499"/>
  <c r="F1499"/>
  <c r="G1499"/>
  <c r="H1499"/>
  <c r="K1498"/>
  <c r="E1498"/>
  <c r="F1498"/>
  <c r="G1498"/>
  <c r="H1498"/>
  <c r="K1497"/>
  <c r="E1497"/>
  <c r="F1497"/>
  <c r="G1497"/>
  <c r="H1497"/>
  <c r="K1496"/>
  <c r="E1496"/>
  <c r="F1496"/>
  <c r="G1496"/>
  <c r="H1496"/>
  <c r="K1495" l="1"/>
  <c r="E1495"/>
  <c r="F1495"/>
  <c r="G1495"/>
  <c r="H1495"/>
  <c r="K1494"/>
  <c r="G1494"/>
  <c r="H1494"/>
  <c r="E1494"/>
  <c r="F1494"/>
  <c r="K1490"/>
  <c r="E1490"/>
  <c r="F1490"/>
  <c r="G1490"/>
  <c r="H1490"/>
  <c r="K1489"/>
  <c r="E1489"/>
  <c r="F1489"/>
  <c r="G1489"/>
  <c r="H1489"/>
  <c r="K1488"/>
  <c r="E1488"/>
  <c r="F1488"/>
  <c r="G1488"/>
  <c r="H1488"/>
  <c r="K1487"/>
  <c r="E1487"/>
  <c r="F1487"/>
  <c r="G1487"/>
  <c r="H1487"/>
  <c r="K1486"/>
  <c r="E1486"/>
  <c r="F1486"/>
  <c r="G1486"/>
  <c r="H1486"/>
  <c r="K1485"/>
  <c r="G1485"/>
  <c r="H1485"/>
  <c r="E1485"/>
  <c r="F1485"/>
  <c r="K1480"/>
  <c r="E1480"/>
  <c r="F1480"/>
  <c r="G1480"/>
  <c r="H1480"/>
  <c r="K1479"/>
  <c r="G1479"/>
  <c r="H1479"/>
  <c r="E1479"/>
  <c r="F1479"/>
  <c r="K1469"/>
  <c r="G1469"/>
  <c r="H1469"/>
  <c r="E1469"/>
  <c r="F1469"/>
  <c r="K1439"/>
  <c r="G1439"/>
  <c r="H1439"/>
  <c r="E1439"/>
  <c r="F1439"/>
  <c r="K1437"/>
  <c r="G1437"/>
  <c r="H1437"/>
  <c r="E1437"/>
  <c r="F1437"/>
  <c r="K1427"/>
  <c r="G1427"/>
  <c r="H1427"/>
  <c r="E1427"/>
  <c r="E1431" s="1"/>
  <c r="F1427"/>
  <c r="K1368"/>
  <c r="G1368"/>
  <c r="H1368"/>
  <c r="E1368"/>
  <c r="F1368"/>
  <c r="K1364"/>
  <c r="E1364"/>
  <c r="F1364"/>
  <c r="G1364"/>
  <c r="H1364"/>
  <c r="K1363"/>
  <c r="E1363"/>
  <c r="F1363"/>
  <c r="G1363"/>
  <c r="H1363"/>
  <c r="K1362"/>
  <c r="E1362"/>
  <c r="F1362"/>
  <c r="G1362"/>
  <c r="H1362"/>
  <c r="K1361"/>
  <c r="G1361"/>
  <c r="H1361"/>
  <c r="E1361"/>
  <c r="F1361"/>
  <c r="K1359"/>
  <c r="G1359"/>
  <c r="H1359"/>
  <c r="E1359"/>
  <c r="F1359"/>
  <c r="K1326"/>
  <c r="G1326"/>
  <c r="H1326"/>
  <c r="E1326"/>
  <c r="F1326"/>
  <c r="K1315"/>
  <c r="G1315"/>
  <c r="H1315"/>
  <c r="E1315"/>
  <c r="F1315"/>
  <c r="K1298"/>
  <c r="G1298"/>
  <c r="H1298"/>
  <c r="E1298"/>
  <c r="F1298"/>
  <c r="K1275"/>
  <c r="E1275"/>
  <c r="F1275"/>
  <c r="G1275"/>
  <c r="H1275"/>
  <c r="K1274"/>
  <c r="E1274"/>
  <c r="F1274"/>
  <c r="G1274"/>
  <c r="H1274"/>
  <c r="K1273"/>
  <c r="G1273"/>
  <c r="H1273"/>
  <c r="E1273"/>
  <c r="F1273"/>
  <c r="K1268"/>
  <c r="E1268"/>
  <c r="F1268"/>
  <c r="G1268"/>
  <c r="H1268"/>
  <c r="K1267"/>
  <c r="E1267"/>
  <c r="F1267"/>
  <c r="G1267"/>
  <c r="H1267"/>
  <c r="K1266"/>
  <c r="E1266"/>
  <c r="F1266"/>
  <c r="G1266"/>
  <c r="H1266"/>
  <c r="K1265"/>
  <c r="G1265"/>
  <c r="H1265"/>
  <c r="E1265"/>
  <c r="F1265"/>
  <c r="K1262"/>
  <c r="E1262"/>
  <c r="F1262"/>
  <c r="G1262"/>
  <c r="H1262"/>
  <c r="K1261" l="1"/>
  <c r="G1261"/>
  <c r="H1261"/>
  <c r="E1261"/>
  <c r="F1261"/>
  <c r="K1259"/>
  <c r="G1259"/>
  <c r="H1259"/>
  <c r="E1259"/>
  <c r="F1259"/>
  <c r="K1257"/>
  <c r="G1257"/>
  <c r="H1257"/>
  <c r="E1257"/>
  <c r="F1257"/>
  <c r="K1243"/>
  <c r="E1243"/>
  <c r="F1243"/>
  <c r="G1243"/>
  <c r="H1243"/>
  <c r="K1242"/>
  <c r="E1242"/>
  <c r="F1242"/>
  <c r="G1242"/>
  <c r="H1242"/>
  <c r="K1241"/>
  <c r="E1241"/>
  <c r="F1241"/>
  <c r="G1241"/>
  <c r="H1241"/>
  <c r="K1240"/>
  <c r="E1240"/>
  <c r="F1240"/>
  <c r="G1240"/>
  <c r="H1240"/>
  <c r="K1239"/>
  <c r="E1239"/>
  <c r="F1239"/>
  <c r="G1239"/>
  <c r="H1239"/>
  <c r="K1238"/>
  <c r="G1238"/>
  <c r="H1238"/>
  <c r="E1238"/>
  <c r="F1238"/>
  <c r="K1222"/>
  <c r="G1222"/>
  <c r="H1222"/>
  <c r="E1222"/>
  <c r="F1222"/>
  <c r="K1216"/>
  <c r="E1216"/>
  <c r="F1216"/>
  <c r="G1216"/>
  <c r="H1216"/>
  <c r="K1215"/>
  <c r="G1215"/>
  <c r="H1215"/>
  <c r="E1215"/>
  <c r="F1215"/>
  <c r="K1214"/>
  <c r="G1214"/>
  <c r="H1214"/>
  <c r="E1214"/>
  <c r="F1214"/>
  <c r="K1212"/>
  <c r="G1212"/>
  <c r="H1212"/>
  <c r="E1212"/>
  <c r="F1212"/>
  <c r="K1210"/>
  <c r="K1211" s="1"/>
  <c r="G1210"/>
  <c r="G1211" s="1"/>
  <c r="H1210"/>
  <c r="H1211" s="1"/>
  <c r="E1210"/>
  <c r="E1211" s="1"/>
  <c r="F1210"/>
  <c r="F1211" s="1"/>
  <c r="K1209"/>
  <c r="G1209"/>
  <c r="H1209"/>
  <c r="E1209"/>
  <c r="F1209"/>
  <c r="K1191"/>
  <c r="E1191"/>
  <c r="F1191"/>
  <c r="G1191"/>
  <c r="H1191"/>
  <c r="K1190"/>
  <c r="H1190"/>
  <c r="G1190"/>
  <c r="E1190"/>
  <c r="F1190"/>
  <c r="K1161"/>
  <c r="G1161"/>
  <c r="H1161"/>
  <c r="E1161"/>
  <c r="F1161"/>
  <c r="K1151"/>
  <c r="E1151"/>
  <c r="F1151"/>
  <c r="G1151"/>
  <c r="H1151"/>
  <c r="K1150"/>
  <c r="G1150"/>
  <c r="H1150"/>
  <c r="E1150"/>
  <c r="F1150"/>
  <c r="K1147"/>
  <c r="E1147"/>
  <c r="F1147"/>
  <c r="G1147"/>
  <c r="H1147"/>
  <c r="K1146"/>
  <c r="G1146"/>
  <c r="H1146"/>
  <c r="E1146"/>
  <c r="F1146"/>
  <c r="K1123"/>
  <c r="G1123"/>
  <c r="H1123"/>
  <c r="E1123"/>
  <c r="F1123"/>
  <c r="K1106"/>
  <c r="K1111" s="1"/>
  <c r="E1106"/>
  <c r="E1112" s="1"/>
  <c r="F1106"/>
  <c r="G1106"/>
  <c r="H1106"/>
  <c r="K1105"/>
  <c r="H1105"/>
  <c r="G1105"/>
  <c r="E1105"/>
  <c r="E1111" s="1"/>
  <c r="F1105"/>
  <c r="K1097"/>
  <c r="G1097"/>
  <c r="H1097"/>
  <c r="E1097"/>
  <c r="F1097"/>
  <c r="K1073"/>
  <c r="G1073"/>
  <c r="H1073"/>
  <c r="E1073"/>
  <c r="F1073"/>
  <c r="K1068"/>
  <c r="G1068"/>
  <c r="H1068"/>
  <c r="E1068"/>
  <c r="F1068"/>
  <c r="K1061"/>
  <c r="G1061"/>
  <c r="H1061"/>
  <c r="E1061"/>
  <c r="F1061"/>
  <c r="K1056"/>
  <c r="G1056"/>
  <c r="H1056"/>
  <c r="E1056"/>
  <c r="F1056"/>
  <c r="K977"/>
  <c r="G977"/>
  <c r="H977"/>
  <c r="E977"/>
  <c r="F977"/>
  <c r="K971"/>
  <c r="E971"/>
  <c r="F971"/>
  <c r="G971"/>
  <c r="H971"/>
  <c r="K970"/>
  <c r="E970"/>
  <c r="F970"/>
  <c r="G970"/>
  <c r="H970"/>
  <c r="K969"/>
  <c r="E969"/>
  <c r="F969"/>
  <c r="G969"/>
  <c r="H969"/>
  <c r="K968"/>
  <c r="E968"/>
  <c r="F968"/>
  <c r="G968"/>
  <c r="H968"/>
  <c r="K967"/>
  <c r="E967"/>
  <c r="F967"/>
  <c r="G967"/>
  <c r="H967"/>
  <c r="K966"/>
  <c r="E966"/>
  <c r="F966"/>
  <c r="G966"/>
  <c r="H966"/>
  <c r="K965"/>
  <c r="E965"/>
  <c r="F965"/>
  <c r="G965"/>
  <c r="H965"/>
  <c r="K964"/>
  <c r="G964"/>
  <c r="H964"/>
  <c r="E964"/>
  <c r="F964"/>
  <c r="K933"/>
  <c r="G933"/>
  <c r="H933"/>
  <c r="E933"/>
  <c r="F933"/>
  <c r="K898"/>
  <c r="G898"/>
  <c r="H898"/>
  <c r="E898"/>
  <c r="F898"/>
  <c r="K895"/>
  <c r="E895"/>
  <c r="F895"/>
  <c r="G895"/>
  <c r="H895"/>
  <c r="K894"/>
  <c r="E894"/>
  <c r="F894"/>
  <c r="G894"/>
  <c r="H894"/>
  <c r="K893"/>
  <c r="E893"/>
  <c r="F893"/>
  <c r="G893"/>
  <c r="H893"/>
  <c r="K892"/>
  <c r="E892"/>
  <c r="F892"/>
  <c r="G892"/>
  <c r="H892"/>
  <c r="K891"/>
  <c r="E891"/>
  <c r="F891"/>
  <c r="G891"/>
  <c r="H891"/>
  <c r="K890"/>
  <c r="G890"/>
  <c r="H890"/>
  <c r="E890"/>
  <c r="F890"/>
  <c r="K829"/>
  <c r="E829"/>
  <c r="F829"/>
  <c r="G829"/>
  <c r="H829"/>
  <c r="K828"/>
  <c r="E828"/>
  <c r="F828"/>
  <c r="G828"/>
  <c r="H828"/>
  <c r="K827"/>
  <c r="G827"/>
  <c r="H827"/>
  <c r="E827"/>
  <c r="F827"/>
  <c r="K810"/>
  <c r="E810"/>
  <c r="F810"/>
  <c r="G810"/>
  <c r="H810"/>
  <c r="K809"/>
  <c r="E809"/>
  <c r="F809"/>
  <c r="G809"/>
  <c r="H809"/>
  <c r="K808"/>
  <c r="G808"/>
  <c r="H808"/>
  <c r="E808"/>
  <c r="F808"/>
  <c r="K787"/>
  <c r="G787"/>
  <c r="H787"/>
  <c r="E787"/>
  <c r="F787"/>
  <c r="K785"/>
  <c r="E785"/>
  <c r="F785"/>
  <c r="G785"/>
  <c r="H785"/>
  <c r="K784"/>
  <c r="E784"/>
  <c r="F784"/>
  <c r="G784"/>
  <c r="H784"/>
  <c r="K783"/>
  <c r="G783"/>
  <c r="H783"/>
  <c r="E783"/>
  <c r="F783"/>
  <c r="K781"/>
  <c r="E781"/>
  <c r="F781"/>
  <c r="G781"/>
  <c r="H781"/>
  <c r="K780"/>
  <c r="G780"/>
  <c r="H780"/>
  <c r="E780"/>
  <c r="F780"/>
  <c r="K777"/>
  <c r="E777"/>
  <c r="F777"/>
  <c r="G777"/>
  <c r="H777"/>
  <c r="K776"/>
  <c r="E776"/>
  <c r="F776"/>
  <c r="G776"/>
  <c r="H776"/>
  <c r="K775"/>
  <c r="G775"/>
  <c r="H775"/>
  <c r="E775"/>
  <c r="F775"/>
  <c r="K774"/>
  <c r="E774"/>
  <c r="F774"/>
  <c r="G774"/>
  <c r="H774"/>
  <c r="K773"/>
  <c r="E773"/>
  <c r="F773"/>
  <c r="G773"/>
  <c r="H773"/>
  <c r="K772"/>
  <c r="G772"/>
  <c r="H772"/>
  <c r="E772"/>
  <c r="F772"/>
  <c r="K767"/>
  <c r="G767"/>
  <c r="H767"/>
  <c r="E767"/>
  <c r="F767"/>
  <c r="K766"/>
  <c r="G766"/>
  <c r="H766"/>
  <c r="E766"/>
  <c r="F766"/>
  <c r="K765"/>
  <c r="G765"/>
  <c r="H765"/>
  <c r="E765"/>
  <c r="F765"/>
  <c r="K764"/>
  <c r="G764"/>
  <c r="H764"/>
  <c r="E764"/>
  <c r="F764"/>
  <c r="K763"/>
  <c r="G763"/>
  <c r="H763"/>
  <c r="E763"/>
  <c r="F763"/>
  <c r="K762"/>
  <c r="E762"/>
  <c r="F762"/>
  <c r="G762"/>
  <c r="H762"/>
  <c r="K761"/>
  <c r="G761"/>
  <c r="H761"/>
  <c r="E761"/>
  <c r="F761"/>
  <c r="K698"/>
  <c r="E698"/>
  <c r="F698"/>
  <c r="G698"/>
  <c r="H698"/>
  <c r="K697"/>
  <c r="E697"/>
  <c r="F697"/>
  <c r="G697"/>
  <c r="H697"/>
  <c r="G696"/>
  <c r="H696"/>
  <c r="E696"/>
  <c r="F696"/>
  <c r="K673"/>
  <c r="G673"/>
  <c r="H673"/>
  <c r="E673"/>
  <c r="F673"/>
  <c r="K660"/>
  <c r="E660"/>
  <c r="F660"/>
  <c r="G660"/>
  <c r="H660"/>
  <c r="K659"/>
  <c r="E659"/>
  <c r="F659"/>
  <c r="G659"/>
  <c r="H659"/>
  <c r="K658"/>
  <c r="E658"/>
  <c r="F658"/>
  <c r="G658"/>
  <c r="H658"/>
  <c r="K657"/>
  <c r="G657"/>
  <c r="H657"/>
  <c r="E657"/>
  <c r="F657"/>
  <c r="K654"/>
  <c r="E654"/>
  <c r="F654"/>
  <c r="G654"/>
  <c r="H654"/>
  <c r="K653"/>
  <c r="E653"/>
  <c r="F653"/>
  <c r="G653"/>
  <c r="H653"/>
  <c r="K652"/>
  <c r="G652"/>
  <c r="H652"/>
  <c r="E652"/>
  <c r="F652"/>
  <c r="K635"/>
  <c r="E635"/>
  <c r="F635"/>
  <c r="G635"/>
  <c r="H635"/>
  <c r="K634"/>
  <c r="E634"/>
  <c r="F634"/>
  <c r="G634"/>
  <c r="H634"/>
  <c r="K633"/>
  <c r="E633"/>
  <c r="F633"/>
  <c r="G633"/>
  <c r="H633"/>
  <c r="K632"/>
  <c r="E632"/>
  <c r="F632"/>
  <c r="G632"/>
  <c r="H632"/>
  <c r="K631"/>
  <c r="E631"/>
  <c r="F631"/>
  <c r="G631"/>
  <c r="H631"/>
  <c r="K630"/>
  <c r="E630"/>
  <c r="F630"/>
  <c r="G630"/>
  <c r="H630"/>
  <c r="K629"/>
  <c r="E629"/>
  <c r="F629"/>
  <c r="G629"/>
  <c r="H629"/>
  <c r="K628"/>
  <c r="E628"/>
  <c r="F628"/>
  <c r="G628"/>
  <c r="H628"/>
  <c r="K627"/>
  <c r="E627"/>
  <c r="F627"/>
  <c r="G627"/>
  <c r="H627"/>
  <c r="K626"/>
  <c r="E626"/>
  <c r="F626"/>
  <c r="G626"/>
  <c r="H626"/>
  <c r="K625"/>
  <c r="E625"/>
  <c r="F625"/>
  <c r="G625"/>
  <c r="H625"/>
  <c r="K624"/>
  <c r="E624"/>
  <c r="F624"/>
  <c r="G624"/>
  <c r="H624"/>
  <c r="K623"/>
  <c r="E623"/>
  <c r="F623"/>
  <c r="G623"/>
  <c r="H623"/>
  <c r="K622"/>
  <c r="E622"/>
  <c r="F622"/>
  <c r="G622"/>
  <c r="H622"/>
  <c r="K621"/>
  <c r="E621"/>
  <c r="F621"/>
  <c r="G621"/>
  <c r="H621"/>
  <c r="K620"/>
  <c r="E620"/>
  <c r="F620"/>
  <c r="G620"/>
  <c r="H620"/>
  <c r="K619"/>
  <c r="G619"/>
  <c r="H619"/>
  <c r="E619"/>
  <c r="F619"/>
  <c r="K618"/>
  <c r="E618"/>
  <c r="F618"/>
  <c r="G618"/>
  <c r="H618"/>
  <c r="K617"/>
  <c r="E617"/>
  <c r="F617"/>
  <c r="G617"/>
  <c r="H617"/>
  <c r="K616"/>
  <c r="G616"/>
  <c r="H616"/>
  <c r="E616"/>
  <c r="F616"/>
  <c r="K614"/>
  <c r="E614"/>
  <c r="F614"/>
  <c r="G614"/>
  <c r="H614"/>
  <c r="K613"/>
  <c r="G613"/>
  <c r="H613"/>
  <c r="E613"/>
  <c r="F613"/>
  <c r="K612"/>
  <c r="G612"/>
  <c r="H612"/>
  <c r="E612"/>
  <c r="F612"/>
  <c r="K610"/>
  <c r="G610"/>
  <c r="H610"/>
  <c r="E610"/>
  <c r="F610"/>
  <c r="K608"/>
  <c r="G608"/>
  <c r="H608"/>
  <c r="E608"/>
  <c r="F608"/>
  <c r="K607"/>
  <c r="G607"/>
  <c r="H607"/>
  <c r="E607"/>
  <c r="F607"/>
  <c r="K606"/>
  <c r="G606"/>
  <c r="H606"/>
  <c r="E606"/>
  <c r="F606"/>
  <c r="K597"/>
  <c r="G597"/>
  <c r="H597"/>
  <c r="E597"/>
  <c r="F597"/>
  <c r="K596"/>
  <c r="G596"/>
  <c r="H596"/>
  <c r="E596"/>
  <c r="F596"/>
  <c r="K594"/>
  <c r="G594"/>
  <c r="H594"/>
  <c r="E594"/>
  <c r="F594"/>
  <c r="K592"/>
  <c r="G592"/>
  <c r="H592"/>
  <c r="E592"/>
  <c r="F592"/>
  <c r="K588"/>
  <c r="F588"/>
  <c r="G588"/>
  <c r="H588"/>
  <c r="E588"/>
  <c r="K586"/>
  <c r="G586"/>
  <c r="H586"/>
  <c r="E586"/>
  <c r="F586"/>
  <c r="K585"/>
  <c r="G585"/>
  <c r="H585"/>
  <c r="E585"/>
  <c r="F585"/>
  <c r="K584"/>
  <c r="G584"/>
  <c r="H584"/>
  <c r="E584"/>
  <c r="F584"/>
  <c r="K583"/>
  <c r="G583"/>
  <c r="H583"/>
  <c r="E583"/>
  <c r="F583"/>
  <c r="K582"/>
  <c r="G582"/>
  <c r="H582"/>
  <c r="E582"/>
  <c r="F582"/>
  <c r="K581"/>
  <c r="G581"/>
  <c r="H581"/>
  <c r="E581"/>
  <c r="F581"/>
  <c r="K580"/>
  <c r="G580"/>
  <c r="H580"/>
  <c r="E580"/>
  <c r="F580"/>
  <c r="K579"/>
  <c r="G579"/>
  <c r="H579"/>
  <c r="E579"/>
  <c r="F579"/>
  <c r="K578"/>
  <c r="G578"/>
  <c r="H578"/>
  <c r="E578"/>
  <c r="F578"/>
  <c r="K577"/>
  <c r="G577"/>
  <c r="H577"/>
  <c r="E577"/>
  <c r="F577"/>
  <c r="K576"/>
  <c r="G576"/>
  <c r="H576"/>
  <c r="E576"/>
  <c r="F576"/>
  <c r="K575"/>
  <c r="G575"/>
  <c r="H575"/>
  <c r="E575"/>
  <c r="F575"/>
  <c r="K574"/>
  <c r="G574"/>
  <c r="H574"/>
  <c r="E574"/>
  <c r="F574"/>
  <c r="K572"/>
  <c r="G572"/>
  <c r="H572"/>
  <c r="E572"/>
  <c r="F572"/>
  <c r="K571"/>
  <c r="G571"/>
  <c r="H571"/>
  <c r="E571"/>
  <c r="F571"/>
  <c r="K570"/>
  <c r="G570"/>
  <c r="H570"/>
  <c r="E570"/>
  <c r="F570"/>
  <c r="K562"/>
  <c r="G562"/>
  <c r="H562"/>
  <c r="E562"/>
  <c r="F562"/>
  <c r="K552"/>
  <c r="G552"/>
  <c r="H552"/>
  <c r="E552"/>
  <c r="F552"/>
  <c r="K551"/>
  <c r="G551"/>
  <c r="H551"/>
  <c r="E551"/>
  <c r="F551"/>
  <c r="K550"/>
  <c r="G550"/>
  <c r="H550"/>
  <c r="E550"/>
  <c r="F550"/>
  <c r="K549"/>
  <c r="G549"/>
  <c r="H549"/>
  <c r="E549"/>
  <c r="F549"/>
  <c r="K548"/>
  <c r="G548"/>
  <c r="H548"/>
  <c r="E548"/>
  <c r="F548"/>
  <c r="K547"/>
  <c r="G547"/>
  <c r="H547"/>
  <c r="E547"/>
  <c r="F547"/>
  <c r="K546"/>
  <c r="G546"/>
  <c r="H546"/>
  <c r="E546"/>
  <c r="F546"/>
  <c r="K545"/>
  <c r="G545"/>
  <c r="H545"/>
  <c r="E545"/>
  <c r="F545"/>
  <c r="K544"/>
  <c r="G544"/>
  <c r="H544"/>
  <c r="E544"/>
  <c r="F544"/>
  <c r="K543"/>
  <c r="E543"/>
  <c r="G543"/>
  <c r="H543"/>
  <c r="F543"/>
  <c r="K542"/>
  <c r="E542"/>
  <c r="G542"/>
  <c r="H542"/>
  <c r="F542"/>
  <c r="K541"/>
  <c r="E541"/>
  <c r="G541"/>
  <c r="H541"/>
  <c r="F541"/>
  <c r="K540"/>
  <c r="G540"/>
  <c r="H540"/>
  <c r="E540"/>
  <c r="F540"/>
  <c r="K539"/>
  <c r="G539"/>
  <c r="H539"/>
  <c r="E539"/>
  <c r="F539"/>
  <c r="K538"/>
  <c r="G538"/>
  <c r="H538"/>
  <c r="E538"/>
  <c r="F538"/>
  <c r="E1109" l="1"/>
  <c r="E1113"/>
  <c r="K1112"/>
  <c r="E1110"/>
  <c r="K1109"/>
  <c r="K1113"/>
  <c r="K1110"/>
  <c r="K537"/>
  <c r="G537"/>
  <c r="H537"/>
  <c r="E537"/>
  <c r="F537"/>
  <c r="K533"/>
  <c r="G533"/>
  <c r="H533"/>
  <c r="E533"/>
  <c r="F533"/>
  <c r="K531"/>
  <c r="G531"/>
  <c r="H531"/>
  <c r="E531"/>
  <c r="F531"/>
  <c r="K530"/>
  <c r="G530"/>
  <c r="H530"/>
  <c r="E530"/>
  <c r="F530"/>
  <c r="K525"/>
  <c r="G525"/>
  <c r="H525"/>
  <c r="E525"/>
  <c r="F525"/>
  <c r="K524"/>
  <c r="G524"/>
  <c r="H524"/>
  <c r="E524"/>
  <c r="F524"/>
  <c r="K523"/>
  <c r="G523"/>
  <c r="H523"/>
  <c r="E523"/>
  <c r="F523"/>
  <c r="K498"/>
  <c r="F498"/>
  <c r="G498"/>
  <c r="H498"/>
  <c r="E498"/>
  <c r="K497"/>
  <c r="G497"/>
  <c r="H497"/>
  <c r="E497"/>
  <c r="F497"/>
  <c r="K496"/>
  <c r="G496"/>
  <c r="H496"/>
  <c r="E496"/>
  <c r="F496"/>
  <c r="K493"/>
  <c r="E493"/>
  <c r="F493"/>
  <c r="G493"/>
  <c r="H493"/>
  <c r="K492"/>
  <c r="F492"/>
  <c r="G492"/>
  <c r="H492"/>
  <c r="E492"/>
  <c r="K491"/>
  <c r="E491"/>
  <c r="F491"/>
  <c r="G491"/>
  <c r="H491"/>
  <c r="K490"/>
  <c r="E490"/>
  <c r="F490"/>
  <c r="G490"/>
  <c r="H490"/>
  <c r="K489"/>
  <c r="G489"/>
  <c r="H489"/>
  <c r="E489"/>
  <c r="F489"/>
  <c r="K488"/>
  <c r="H488"/>
  <c r="G488"/>
  <c r="E488"/>
  <c r="F488"/>
  <c r="K486"/>
  <c r="G486"/>
  <c r="H486"/>
  <c r="E486"/>
  <c r="F486"/>
  <c r="K482"/>
  <c r="G482"/>
  <c r="H482"/>
  <c r="E482"/>
  <c r="F482"/>
  <c r="K479"/>
  <c r="E479"/>
  <c r="F479"/>
  <c r="G479"/>
  <c r="H479"/>
  <c r="K478"/>
  <c r="K480" s="1"/>
  <c r="E478"/>
  <c r="E480" s="1"/>
  <c r="F478"/>
  <c r="F480" s="1"/>
  <c r="G478"/>
  <c r="G480" s="1"/>
  <c r="H478"/>
  <c r="H480" s="1"/>
  <c r="K477"/>
  <c r="K481" s="1"/>
  <c r="E477"/>
  <c r="E481" s="1"/>
  <c r="F477"/>
  <c r="F481" s="1"/>
  <c r="G477"/>
  <c r="G481" s="1"/>
  <c r="H477"/>
  <c r="H481" s="1"/>
  <c r="K476"/>
  <c r="G476"/>
  <c r="H476"/>
  <c r="E476"/>
  <c r="F476"/>
  <c r="K472"/>
  <c r="H472"/>
  <c r="E472"/>
  <c r="F472"/>
  <c r="G472"/>
  <c r="K454"/>
  <c r="F454"/>
  <c r="G454"/>
  <c r="H454"/>
  <c r="E454"/>
  <c r="K453"/>
  <c r="F453"/>
  <c r="G453"/>
  <c r="H453"/>
  <c r="E453"/>
  <c r="K448"/>
  <c r="E448"/>
  <c r="F448"/>
  <c r="G448"/>
  <c r="H448"/>
  <c r="K447"/>
  <c r="F447"/>
  <c r="G447"/>
  <c r="H447"/>
  <c r="E447"/>
  <c r="K371"/>
  <c r="E371"/>
  <c r="F371"/>
  <c r="G371"/>
  <c r="H371"/>
  <c r="K370"/>
  <c r="E370"/>
  <c r="F370"/>
  <c r="G370"/>
  <c r="H370"/>
  <c r="K369"/>
  <c r="E369"/>
  <c r="F369"/>
  <c r="G369"/>
  <c r="H369"/>
  <c r="K368"/>
  <c r="G368"/>
  <c r="H368"/>
  <c r="E368"/>
  <c r="F368"/>
  <c r="K366"/>
  <c r="G366"/>
  <c r="H366"/>
  <c r="E366"/>
  <c r="F366"/>
  <c r="K363"/>
  <c r="E363"/>
  <c r="F363"/>
  <c r="G363"/>
  <c r="H363"/>
  <c r="K362"/>
  <c r="F362"/>
  <c r="G362"/>
  <c r="H362"/>
  <c r="E362"/>
  <c r="K343"/>
  <c r="H343"/>
  <c r="G343"/>
  <c r="E343"/>
  <c r="F343"/>
  <c r="K236"/>
  <c r="H236"/>
  <c r="E236"/>
  <c r="F236"/>
  <c r="G236"/>
  <c r="K232"/>
  <c r="E232"/>
  <c r="F232"/>
  <c r="G232"/>
  <c r="H232"/>
  <c r="K231"/>
  <c r="G231"/>
  <c r="H231"/>
  <c r="E231"/>
  <c r="F231"/>
  <c r="K175"/>
  <c r="G175"/>
  <c r="H175"/>
  <c r="E175"/>
  <c r="F175"/>
  <c r="K173"/>
  <c r="G173"/>
  <c r="H173"/>
  <c r="E173"/>
  <c r="F173"/>
  <c r="K96"/>
  <c r="E96"/>
  <c r="F96"/>
  <c r="G96"/>
  <c r="H96"/>
  <c r="K95"/>
  <c r="E95"/>
  <c r="F95"/>
  <c r="G95"/>
  <c r="H95"/>
  <c r="K94"/>
  <c r="F94"/>
  <c r="G94"/>
  <c r="H94"/>
  <c r="E94"/>
  <c r="K92"/>
  <c r="E92"/>
  <c r="F92"/>
  <c r="G92"/>
  <c r="H92"/>
  <c r="K91"/>
  <c r="F91"/>
  <c r="G91"/>
  <c r="H91"/>
  <c r="E91"/>
  <c r="K81"/>
  <c r="F81"/>
  <c r="G81"/>
  <c r="H81"/>
  <c r="E81"/>
  <c r="K80"/>
  <c r="F80"/>
  <c r="G80"/>
  <c r="H80"/>
  <c r="E80"/>
  <c r="K78"/>
  <c r="F78"/>
  <c r="G78"/>
  <c r="H78"/>
  <c r="E78"/>
  <c r="K73"/>
  <c r="F73"/>
  <c r="G73"/>
  <c r="H73"/>
  <c r="E73"/>
  <c r="K64"/>
  <c r="F64"/>
  <c r="G64"/>
  <c r="H64"/>
  <c r="E64"/>
  <c r="K62"/>
  <c r="F62"/>
  <c r="G62"/>
  <c r="H62"/>
  <c r="E62"/>
  <c r="K61"/>
  <c r="F61"/>
  <c r="G61"/>
  <c r="H61"/>
  <c r="E61"/>
  <c r="K59"/>
  <c r="E59"/>
  <c r="F59"/>
  <c r="G59"/>
  <c r="H59"/>
  <c r="K58"/>
  <c r="E58"/>
  <c r="F58"/>
  <c r="G58"/>
  <c r="H58"/>
  <c r="K57"/>
  <c r="F57"/>
  <c r="G57"/>
  <c r="H57"/>
  <c r="E57"/>
  <c r="K56"/>
  <c r="F56"/>
  <c r="G56"/>
  <c r="H56"/>
  <c r="E56"/>
  <c r="K36"/>
  <c r="E36"/>
  <c r="F36"/>
  <c r="G36"/>
  <c r="H36"/>
  <c r="K35"/>
  <c r="F35"/>
  <c r="G35"/>
  <c r="H35"/>
  <c r="E35"/>
  <c r="K32"/>
  <c r="E32"/>
  <c r="F32"/>
  <c r="G32"/>
  <c r="H32"/>
  <c r="K31"/>
  <c r="E31"/>
  <c r="F31"/>
  <c r="G31"/>
  <c r="H31"/>
  <c r="K30"/>
  <c r="F30"/>
  <c r="G30"/>
  <c r="H30"/>
  <c r="E30"/>
  <c r="M1331"/>
  <c r="O1331"/>
  <c r="M997"/>
  <c r="O997"/>
  <c r="P997" l="1"/>
  <c r="P1331"/>
  <c r="P9"/>
  <c r="O9"/>
  <c r="K9"/>
  <c r="M17"/>
  <c r="M18"/>
  <c r="M19"/>
  <c r="M20"/>
  <c r="M21"/>
  <c r="M24"/>
  <c r="M25"/>
  <c r="M26"/>
  <c r="M27"/>
  <c r="M28"/>
  <c r="M30"/>
  <c r="M31"/>
  <c r="M32"/>
  <c r="M33"/>
  <c r="M34"/>
  <c r="M35"/>
  <c r="M36"/>
  <c r="M37"/>
  <c r="M41"/>
  <c r="M42"/>
  <c r="M44"/>
  <c r="M45"/>
  <c r="M54"/>
  <c r="M56"/>
  <c r="M57"/>
  <c r="M58"/>
  <c r="M59"/>
  <c r="M60"/>
  <c r="M61"/>
  <c r="M62"/>
  <c r="M63"/>
  <c r="M64"/>
  <c r="M65"/>
  <c r="M66"/>
  <c r="M67"/>
  <c r="M68"/>
  <c r="M70"/>
  <c r="M72"/>
  <c r="M73"/>
  <c r="M76"/>
  <c r="M77"/>
  <c r="M78"/>
  <c r="M79"/>
  <c r="M80"/>
  <c r="M81"/>
  <c r="M83"/>
  <c r="M85"/>
  <c r="M86"/>
  <c r="M87"/>
  <c r="M89"/>
  <c r="M90"/>
  <c r="M91"/>
  <c r="M92"/>
  <c r="M93"/>
  <c r="M94"/>
  <c r="M95"/>
  <c r="M96"/>
  <c r="M98"/>
  <c r="M109"/>
  <c r="M110"/>
  <c r="M112"/>
  <c r="M113"/>
  <c r="M114"/>
  <c r="M115"/>
  <c r="M117"/>
  <c r="M118"/>
  <c r="M130"/>
  <c r="M132"/>
  <c r="M133"/>
  <c r="M134"/>
  <c r="M135"/>
  <c r="M136"/>
  <c r="M137"/>
  <c r="M139"/>
  <c r="M140"/>
  <c r="M141"/>
  <c r="M142"/>
  <c r="M143"/>
  <c r="M144"/>
  <c r="M145"/>
  <c r="M147"/>
  <c r="M148"/>
  <c r="M149"/>
  <c r="M151"/>
  <c r="M152"/>
  <c r="M153"/>
  <c r="M154"/>
  <c r="M156"/>
  <c r="M157"/>
  <c r="M158"/>
  <c r="M159"/>
  <c r="M160"/>
  <c r="M161"/>
  <c r="M162"/>
  <c r="M163"/>
  <c r="M173"/>
  <c r="M174"/>
  <c r="M175"/>
  <c r="M187"/>
  <c r="M189"/>
  <c r="M190"/>
  <c r="M192"/>
  <c r="M193"/>
  <c r="M194"/>
  <c r="M196"/>
  <c r="M198"/>
  <c r="M199"/>
  <c r="M201"/>
  <c r="M207"/>
  <c r="M208"/>
  <c r="M209"/>
  <c r="M210"/>
  <c r="M211"/>
  <c r="M213"/>
  <c r="M214"/>
  <c r="M215"/>
  <c r="M216"/>
  <c r="M217"/>
  <c r="M218"/>
  <c r="M220"/>
  <c r="M221"/>
  <c r="M225"/>
  <c r="M226"/>
  <c r="M228"/>
  <c r="M229"/>
  <c r="M231"/>
  <c r="M232"/>
  <c r="M234"/>
  <c r="M235"/>
  <c r="M236"/>
  <c r="M237"/>
  <c r="M239"/>
  <c r="M241"/>
  <c r="M242"/>
  <c r="M248"/>
  <c r="M249"/>
  <c r="M250"/>
  <c r="M251"/>
  <c r="M252"/>
  <c r="M254"/>
  <c r="M255"/>
  <c r="M256"/>
  <c r="M257"/>
  <c r="M258"/>
  <c r="M261"/>
  <c r="M262"/>
  <c r="M263"/>
  <c r="M264"/>
  <c r="M265"/>
  <c r="M266"/>
  <c r="M267"/>
  <c r="M268"/>
  <c r="M269"/>
  <c r="M270"/>
  <c r="M272"/>
  <c r="M273"/>
  <c r="M274"/>
  <c r="M275"/>
  <c r="M276"/>
  <c r="M277"/>
  <c r="M278"/>
  <c r="M279"/>
  <c r="M280"/>
  <c r="M281"/>
  <c r="M282"/>
  <c r="M283"/>
  <c r="M284"/>
  <c r="M285"/>
  <c r="M286"/>
  <c r="M287"/>
  <c r="M288"/>
  <c r="M289"/>
  <c r="M290"/>
  <c r="M291"/>
  <c r="M292"/>
  <c r="M293"/>
  <c r="M295"/>
  <c r="M296"/>
  <c r="M297"/>
  <c r="M300"/>
  <c r="M301"/>
  <c r="M302"/>
  <c r="M303"/>
  <c r="M304"/>
  <c r="M305"/>
  <c r="M306"/>
  <c r="M307"/>
  <c r="M308"/>
  <c r="M310"/>
  <c r="M311"/>
  <c r="M312"/>
  <c r="M313"/>
  <c r="M314"/>
  <c r="M315"/>
  <c r="M317"/>
  <c r="M318"/>
  <c r="M319"/>
  <c r="M320"/>
  <c r="M321"/>
  <c r="M322"/>
  <c r="M323"/>
  <c r="M325"/>
  <c r="M326"/>
  <c r="M327"/>
  <c r="M328"/>
  <c r="M329"/>
  <c r="M330"/>
  <c r="M331"/>
  <c r="M333"/>
  <c r="M334"/>
  <c r="M336"/>
  <c r="M337"/>
  <c r="M338"/>
  <c r="M343"/>
  <c r="M354"/>
  <c r="M355"/>
  <c r="M357"/>
  <c r="M358"/>
  <c r="M360"/>
  <c r="M361"/>
  <c r="M362"/>
  <c r="M363"/>
  <c r="M366"/>
  <c r="M367"/>
  <c r="M368"/>
  <c r="M369"/>
  <c r="M370"/>
  <c r="M371"/>
  <c r="M373"/>
  <c r="M374"/>
  <c r="M376"/>
  <c r="M388"/>
  <c r="M389"/>
  <c r="M390"/>
  <c r="M392"/>
  <c r="M393"/>
  <c r="M394"/>
  <c r="M395"/>
  <c r="M396"/>
  <c r="M397"/>
  <c r="M398"/>
  <c r="M399"/>
  <c r="M400"/>
  <c r="M402"/>
  <c r="M403"/>
  <c r="M404"/>
  <c r="M405"/>
  <c r="M406"/>
  <c r="M408"/>
  <c r="M409"/>
  <c r="M410"/>
  <c r="M413"/>
  <c r="M414"/>
  <c r="M416"/>
  <c r="M417"/>
  <c r="M418"/>
  <c r="M419"/>
  <c r="M421"/>
  <c r="M422"/>
  <c r="M423"/>
  <c r="M424"/>
  <c r="M425"/>
  <c r="M426"/>
  <c r="M428"/>
  <c r="M439"/>
  <c r="M440"/>
  <c r="M441"/>
  <c r="M442"/>
  <c r="M444"/>
  <c r="M445"/>
  <c r="M447"/>
  <c r="M448"/>
  <c r="M451"/>
  <c r="M452"/>
  <c r="M453"/>
  <c r="M454"/>
  <c r="M455"/>
  <c r="M457"/>
  <c r="M459"/>
  <c r="M470"/>
  <c r="M472"/>
  <c r="M473"/>
  <c r="M474"/>
  <c r="M476"/>
  <c r="M477"/>
  <c r="M478"/>
  <c r="M479"/>
  <c r="M480"/>
  <c r="M481"/>
  <c r="M482"/>
  <c r="M486"/>
  <c r="M488"/>
  <c r="M489"/>
  <c r="M490"/>
  <c r="M491"/>
  <c r="M492"/>
  <c r="M493"/>
  <c r="M496"/>
  <c r="M497"/>
  <c r="M498"/>
  <c r="M500"/>
  <c r="M502"/>
  <c r="M504"/>
  <c r="M516"/>
  <c r="M517"/>
  <c r="M518"/>
  <c r="M519"/>
  <c r="M520"/>
  <c r="M521"/>
  <c r="M523"/>
  <c r="M524"/>
  <c r="M525"/>
  <c r="M529"/>
  <c r="M530"/>
  <c r="M531"/>
  <c r="M532"/>
  <c r="M533"/>
  <c r="M536"/>
  <c r="M537"/>
  <c r="M538"/>
  <c r="M539"/>
  <c r="M540"/>
  <c r="M541"/>
  <c r="M542"/>
  <c r="M543"/>
  <c r="M544"/>
  <c r="M545"/>
  <c r="M546"/>
  <c r="M547"/>
  <c r="M548"/>
  <c r="M549"/>
  <c r="M550"/>
  <c r="M551"/>
  <c r="M552"/>
  <c r="M555"/>
  <c r="M556"/>
  <c r="M560"/>
  <c r="M562"/>
  <c r="M563"/>
  <c r="M570"/>
  <c r="M571"/>
  <c r="M572"/>
  <c r="M574"/>
  <c r="M575"/>
  <c r="M576"/>
  <c r="M577"/>
  <c r="M578"/>
  <c r="M579"/>
  <c r="M580"/>
  <c r="M581"/>
  <c r="M582"/>
  <c r="M583"/>
  <c r="M584"/>
  <c r="M585"/>
  <c r="M586"/>
  <c r="M588"/>
  <c r="M592"/>
  <c r="M594"/>
  <c r="M596"/>
  <c r="M597"/>
  <c r="M599"/>
  <c r="M600"/>
  <c r="M602"/>
  <c r="M606"/>
  <c r="M607"/>
  <c r="M608"/>
  <c r="M610"/>
  <c r="M612"/>
  <c r="M613"/>
  <c r="M614"/>
  <c r="M616"/>
  <c r="M617"/>
  <c r="M618"/>
  <c r="M619"/>
  <c r="M620"/>
  <c r="M621"/>
  <c r="M622"/>
  <c r="M623"/>
  <c r="M624"/>
  <c r="M625"/>
  <c r="M626"/>
  <c r="M627"/>
  <c r="M628"/>
  <c r="M629"/>
  <c r="M630"/>
  <c r="M631"/>
  <c r="M632"/>
  <c r="M633"/>
  <c r="M634"/>
  <c r="M635"/>
  <c r="M646"/>
  <c r="M647"/>
  <c r="M649"/>
  <c r="M651"/>
  <c r="M652"/>
  <c r="M653"/>
  <c r="M654"/>
  <c r="M655"/>
  <c r="M656"/>
  <c r="M657"/>
  <c r="M658"/>
  <c r="M659"/>
  <c r="M660"/>
  <c r="M661"/>
  <c r="M662"/>
  <c r="M663"/>
  <c r="M664"/>
  <c r="M668"/>
  <c r="M669"/>
  <c r="M670"/>
  <c r="M671"/>
  <c r="M672"/>
  <c r="M673"/>
  <c r="M675"/>
  <c r="M676"/>
  <c r="M677"/>
  <c r="M678"/>
  <c r="M679"/>
  <c r="M680"/>
  <c r="M683"/>
  <c r="M684"/>
  <c r="M685"/>
  <c r="M687"/>
  <c r="M688"/>
  <c r="M689"/>
  <c r="M690"/>
  <c r="M691"/>
  <c r="M692"/>
  <c r="M693"/>
  <c r="M695"/>
  <c r="M696"/>
  <c r="M697"/>
  <c r="M698"/>
  <c r="M699"/>
  <c r="M700"/>
  <c r="M701"/>
  <c r="M702"/>
  <c r="M703"/>
  <c r="M706"/>
  <c r="M708"/>
  <c r="M710"/>
  <c r="M720"/>
  <c r="M721"/>
  <c r="M722"/>
  <c r="M723"/>
  <c r="M724"/>
  <c r="M725"/>
  <c r="M726"/>
  <c r="M727"/>
  <c r="M728"/>
  <c r="M732"/>
  <c r="M733"/>
  <c r="M734"/>
  <c r="M735"/>
  <c r="M736"/>
  <c r="M737"/>
  <c r="M738"/>
  <c r="M739"/>
  <c r="M744"/>
  <c r="M755"/>
  <c r="M757"/>
  <c r="M758"/>
  <c r="M759"/>
  <c r="M761"/>
  <c r="M762"/>
  <c r="M763"/>
  <c r="M764"/>
  <c r="M765"/>
  <c r="M766"/>
  <c r="M767"/>
  <c r="M770"/>
  <c r="M772"/>
  <c r="M773"/>
  <c r="M774"/>
  <c r="M775"/>
  <c r="M776"/>
  <c r="M777"/>
  <c r="M780"/>
  <c r="M781"/>
  <c r="M782"/>
  <c r="M783"/>
  <c r="M784"/>
  <c r="M785"/>
  <c r="M787"/>
  <c r="M789"/>
  <c r="M790"/>
  <c r="M801"/>
  <c r="M802"/>
  <c r="M804"/>
  <c r="M805"/>
  <c r="M806"/>
  <c r="M807"/>
  <c r="M808"/>
  <c r="M809"/>
  <c r="M810"/>
  <c r="M811"/>
  <c r="M812"/>
  <c r="M814"/>
  <c r="M815"/>
  <c r="M816"/>
  <c r="M817"/>
  <c r="M818"/>
  <c r="M820"/>
  <c r="M821"/>
  <c r="M824"/>
  <c r="M826"/>
  <c r="M827"/>
  <c r="M828"/>
  <c r="M829"/>
  <c r="M830"/>
  <c r="M831"/>
  <c r="M832"/>
  <c r="M833"/>
  <c r="M834"/>
  <c r="M835"/>
  <c r="M837"/>
  <c r="M849"/>
  <c r="M851"/>
  <c r="M852"/>
  <c r="M854"/>
  <c r="M855"/>
  <c r="M856"/>
  <c r="M857"/>
  <c r="M858"/>
  <c r="M859"/>
  <c r="M860"/>
  <c r="M861"/>
  <c r="M862"/>
  <c r="M863"/>
  <c r="M864"/>
  <c r="M866"/>
  <c r="M867"/>
  <c r="M868"/>
  <c r="M869"/>
  <c r="M871"/>
  <c r="M875"/>
  <c r="M876"/>
  <c r="M887"/>
  <c r="M888"/>
  <c r="M890"/>
  <c r="M891"/>
  <c r="M892"/>
  <c r="M893"/>
  <c r="M894"/>
  <c r="M895"/>
  <c r="M896"/>
  <c r="M897"/>
  <c r="M898"/>
  <c r="M899"/>
  <c r="M901"/>
  <c r="M902"/>
  <c r="M906"/>
  <c r="M907"/>
  <c r="M908"/>
  <c r="M909"/>
  <c r="M910"/>
  <c r="M911"/>
  <c r="M912"/>
  <c r="M913"/>
  <c r="M914"/>
  <c r="M916"/>
  <c r="M926"/>
  <c r="M927"/>
  <c r="M928"/>
  <c r="M929"/>
  <c r="M930"/>
  <c r="M931"/>
  <c r="M932"/>
  <c r="M933"/>
  <c r="M935"/>
  <c r="M937"/>
  <c r="M938"/>
  <c r="M939"/>
  <c r="M940"/>
  <c r="M941"/>
  <c r="M942"/>
  <c r="M943"/>
  <c r="M944"/>
  <c r="M946"/>
  <c r="M947"/>
  <c r="M948"/>
  <c r="M949"/>
  <c r="M950"/>
  <c r="M953"/>
  <c r="M954"/>
  <c r="M955"/>
  <c r="M957"/>
  <c r="M958"/>
  <c r="M959"/>
  <c r="M960"/>
  <c r="M961"/>
  <c r="M964"/>
  <c r="M965"/>
  <c r="M966"/>
  <c r="M967"/>
  <c r="M968"/>
  <c r="M969"/>
  <c r="M970"/>
  <c r="M971"/>
  <c r="M973"/>
  <c r="M975"/>
  <c r="M976"/>
  <c r="M977"/>
  <c r="M979"/>
  <c r="M983"/>
  <c r="M984"/>
  <c r="M995"/>
  <c r="M998"/>
  <c r="M999"/>
  <c r="M1000"/>
  <c r="M1002"/>
  <c r="M1004"/>
  <c r="M1005"/>
  <c r="M1006"/>
  <c r="M1007"/>
  <c r="M1008"/>
  <c r="M1009"/>
  <c r="M1011"/>
  <c r="M1012"/>
  <c r="M1015"/>
  <c r="M1016"/>
  <c r="M1017"/>
  <c r="M1018"/>
  <c r="M1019"/>
  <c r="M1020"/>
  <c r="M1021"/>
  <c r="M1022"/>
  <c r="M1023"/>
  <c r="M1024"/>
  <c r="M1026"/>
  <c r="M1029"/>
  <c r="M1030"/>
  <c r="M1041"/>
  <c r="M1042"/>
  <c r="M1043"/>
  <c r="M1044"/>
  <c r="M1045"/>
  <c r="M1046"/>
  <c r="M1048"/>
  <c r="M1052"/>
  <c r="M1053"/>
  <c r="M1054"/>
  <c r="M1056"/>
  <c r="M1057"/>
  <c r="M1060"/>
  <c r="M1061"/>
  <c r="M1063"/>
  <c r="M1065"/>
  <c r="M1067"/>
  <c r="M1068"/>
  <c r="M1069"/>
  <c r="M1072"/>
  <c r="M1073"/>
  <c r="M1074"/>
  <c r="M1075"/>
  <c r="M1076"/>
  <c r="M1077"/>
  <c r="M1078"/>
  <c r="M1080"/>
  <c r="M1091"/>
  <c r="M1092"/>
  <c r="M1094"/>
  <c r="M1095"/>
  <c r="M1096"/>
  <c r="M1097"/>
  <c r="M1098"/>
  <c r="M1100"/>
  <c r="M1101"/>
  <c r="M1102"/>
  <c r="M1103"/>
  <c r="M1105"/>
  <c r="M1106"/>
  <c r="M1109"/>
  <c r="M1110"/>
  <c r="M1111"/>
  <c r="M1112"/>
  <c r="M1113"/>
  <c r="M1115"/>
  <c r="M1116"/>
  <c r="M1117"/>
  <c r="M1118"/>
  <c r="M1119"/>
  <c r="M1120"/>
  <c r="M1122"/>
  <c r="M1123"/>
  <c r="M1125"/>
  <c r="M1126"/>
  <c r="M1127"/>
  <c r="M1129"/>
  <c r="M1130"/>
  <c r="M1141"/>
  <c r="M1142"/>
  <c r="M1144"/>
  <c r="M1146"/>
  <c r="M1147"/>
  <c r="M1148"/>
  <c r="M1149"/>
  <c r="M1150"/>
  <c r="M1151"/>
  <c r="M1153"/>
  <c r="M1154"/>
  <c r="M1156"/>
  <c r="M1157"/>
  <c r="M1160"/>
  <c r="M1161"/>
  <c r="M1162"/>
  <c r="M1163"/>
  <c r="M1164"/>
  <c r="M1165"/>
  <c r="M1166"/>
  <c r="M1168"/>
  <c r="M1180"/>
  <c r="M1181"/>
  <c r="M1182"/>
  <c r="M1183"/>
  <c r="M1184"/>
  <c r="M1185"/>
  <c r="M1186"/>
  <c r="M1188"/>
  <c r="M1190"/>
  <c r="M1191"/>
  <c r="M1192"/>
  <c r="M1194"/>
  <c r="M1195"/>
  <c r="M1196"/>
  <c r="M1198"/>
  <c r="M1199"/>
  <c r="M1200"/>
  <c r="M1201"/>
  <c r="M1205"/>
  <c r="M1206"/>
  <c r="M1207"/>
  <c r="M1209"/>
  <c r="M1210"/>
  <c r="M1211"/>
  <c r="M1212"/>
  <c r="M1214"/>
  <c r="M1215"/>
  <c r="M1216"/>
  <c r="M1218"/>
  <c r="M1220"/>
  <c r="M1222"/>
  <c r="M1233"/>
  <c r="M1235"/>
  <c r="M1236"/>
  <c r="M1238"/>
  <c r="M1239"/>
  <c r="M1240"/>
  <c r="M1241"/>
  <c r="M1242"/>
  <c r="M1243"/>
  <c r="M1244"/>
  <c r="M1245"/>
  <c r="M1246"/>
  <c r="M1247"/>
  <c r="M1248"/>
  <c r="M1249"/>
  <c r="M1250"/>
  <c r="M1251"/>
  <c r="M1252"/>
  <c r="M1255"/>
  <c r="M1256"/>
  <c r="M1257"/>
  <c r="M1258"/>
  <c r="M1259"/>
  <c r="M1260"/>
  <c r="M1261"/>
  <c r="M1262"/>
  <c r="M1263"/>
  <c r="M1264"/>
  <c r="M1265"/>
  <c r="M1266"/>
  <c r="M1267"/>
  <c r="M1268"/>
  <c r="M1270"/>
  <c r="M1272"/>
  <c r="M1273"/>
  <c r="M1274"/>
  <c r="M1275"/>
  <c r="M1276"/>
  <c r="M1277"/>
  <c r="M1278"/>
  <c r="M1279"/>
  <c r="M1280"/>
  <c r="M1281"/>
  <c r="M1286"/>
  <c r="M1298"/>
  <c r="M1300"/>
  <c r="M1301"/>
  <c r="M1302"/>
  <c r="M1304"/>
  <c r="M1305"/>
  <c r="M1306"/>
  <c r="M1308"/>
  <c r="M1309"/>
  <c r="M1313"/>
  <c r="M1315"/>
  <c r="M1318"/>
  <c r="M1319"/>
  <c r="M1320"/>
  <c r="M1322"/>
  <c r="M1323"/>
  <c r="M1326"/>
  <c r="M1329"/>
  <c r="M1332"/>
  <c r="M1333"/>
  <c r="M1336"/>
  <c r="M1338"/>
  <c r="M1339"/>
  <c r="M1342"/>
  <c r="M1344"/>
  <c r="M1349"/>
  <c r="M1350"/>
  <c r="M1352"/>
  <c r="M1353"/>
  <c r="M1354"/>
  <c r="M1355"/>
  <c r="M1356"/>
  <c r="M1357"/>
  <c r="M1359"/>
  <c r="M1361"/>
  <c r="M1362"/>
  <c r="M1363"/>
  <c r="M1364"/>
  <c r="M1368"/>
  <c r="M1380"/>
  <c r="M1381"/>
  <c r="M1382"/>
  <c r="M1383"/>
  <c r="M1385"/>
  <c r="M1386"/>
  <c r="M1387"/>
  <c r="M1388"/>
  <c r="M1389"/>
  <c r="M1391"/>
  <c r="M1392"/>
  <c r="M1393"/>
  <c r="M1397"/>
  <c r="M1398"/>
  <c r="M1399"/>
  <c r="M1401"/>
  <c r="M1402"/>
  <c r="M1403"/>
  <c r="M1404"/>
  <c r="M1405"/>
  <c r="M1406"/>
  <c r="M1407"/>
  <c r="M1408"/>
  <c r="M1409"/>
  <c r="M1410"/>
  <c r="M1412"/>
  <c r="M1413"/>
  <c r="M1414"/>
  <c r="M1417"/>
  <c r="M1418"/>
  <c r="M1419"/>
  <c r="M1421"/>
  <c r="M1422"/>
  <c r="M1423"/>
  <c r="M1424"/>
  <c r="M1425"/>
  <c r="M1427"/>
  <c r="M1432"/>
  <c r="M1433"/>
  <c r="M1437"/>
  <c r="M1438"/>
  <c r="M1439"/>
  <c r="M1440"/>
  <c r="M1441"/>
  <c r="M1443"/>
  <c r="M1444"/>
  <c r="M1446"/>
  <c r="M1447"/>
  <c r="M1448"/>
  <c r="M1449"/>
  <c r="M1450"/>
  <c r="M1451"/>
  <c r="M1463"/>
  <c r="M1464"/>
  <c r="M1465"/>
  <c r="M1466"/>
  <c r="M1467"/>
  <c r="M1469"/>
  <c r="M1470"/>
  <c r="M1472"/>
  <c r="M1475"/>
  <c r="M1476"/>
  <c r="M1477"/>
  <c r="M1479"/>
  <c r="M1480"/>
  <c r="M1483"/>
  <c r="M1484"/>
  <c r="M1485"/>
  <c r="M1486"/>
  <c r="M1487"/>
  <c r="M1488"/>
  <c r="M1489"/>
  <c r="M1490"/>
  <c r="M1491"/>
  <c r="M1492"/>
  <c r="M1493"/>
  <c r="M1494"/>
  <c r="M1495"/>
  <c r="M1496"/>
  <c r="M1497"/>
  <c r="M1498"/>
  <c r="M1499"/>
  <c r="M1500"/>
  <c r="M1501"/>
  <c r="M1502"/>
  <c r="M1504"/>
  <c r="M1505"/>
  <c r="M1506"/>
  <c r="M1507"/>
  <c r="M1508"/>
  <c r="M1509"/>
  <c r="M1510"/>
  <c r="M1514"/>
  <c r="M1515"/>
  <c r="M1517"/>
  <c r="M1518"/>
  <c r="M1520"/>
  <c r="M1521"/>
  <c r="M1522"/>
  <c r="M1523"/>
  <c r="M1524"/>
  <c r="M1525"/>
  <c r="M1526"/>
  <c r="M1527"/>
  <c r="M1528"/>
  <c r="M1529"/>
  <c r="M1531"/>
  <c r="M1544"/>
  <c r="M1545"/>
  <c r="M1546"/>
  <c r="M1548"/>
  <c r="M1549"/>
  <c r="M1550"/>
  <c r="M1551"/>
  <c r="M1552"/>
  <c r="M1553"/>
  <c r="M1555"/>
  <c r="M1560"/>
  <c r="M1561"/>
  <c r="M1562"/>
  <c r="M1564"/>
  <c r="M1568"/>
  <c r="M1569"/>
  <c r="M1570"/>
  <c r="M1581"/>
  <c r="M1583"/>
  <c r="M1584"/>
  <c r="M1585"/>
  <c r="M1586"/>
  <c r="M1587"/>
  <c r="M1588"/>
  <c r="M1589"/>
  <c r="M1590"/>
  <c r="M1591"/>
  <c r="M1592"/>
  <c r="M1593"/>
  <c r="M1594"/>
  <c r="M1596"/>
  <c r="M1597"/>
  <c r="M1599"/>
  <c r="M1600"/>
  <c r="M1601"/>
  <c r="M1602"/>
  <c r="M1603"/>
  <c r="M1604"/>
  <c r="M1605"/>
  <c r="M1608"/>
  <c r="M1609"/>
  <c r="M1610"/>
  <c r="M1611"/>
  <c r="M1612"/>
  <c r="M1613"/>
  <c r="M1614"/>
  <c r="M1615"/>
  <c r="M1616"/>
  <c r="M1617"/>
  <c r="M1619"/>
  <c r="M1631"/>
  <c r="M1632"/>
  <c r="M1634"/>
  <c r="M1635"/>
  <c r="M1636"/>
  <c r="M1637"/>
  <c r="M1638"/>
  <c r="M1639"/>
  <c r="M1640"/>
  <c r="M1641"/>
  <c r="M1642"/>
  <c r="M1643"/>
  <c r="M1645"/>
  <c r="M1646"/>
  <c r="M1647"/>
  <c r="M1648"/>
  <c r="M1649"/>
  <c r="M1650"/>
  <c r="M1654"/>
  <c r="M1655"/>
  <c r="M1657"/>
  <c r="M1658"/>
  <c r="M1659"/>
  <c r="M1660"/>
  <c r="M1661"/>
  <c r="M1662"/>
  <c r="M1663"/>
  <c r="M1664"/>
  <c r="M1665"/>
  <c r="M1666"/>
  <c r="M1677"/>
  <c r="M1679"/>
  <c r="M1680"/>
  <c r="M1691"/>
  <c r="M1692"/>
  <c r="M1693"/>
  <c r="M1694"/>
  <c r="M1696"/>
  <c r="M1697"/>
  <c r="M1698"/>
  <c r="M1699"/>
  <c r="M1701"/>
  <c r="M1707"/>
  <c r="M1708"/>
  <c r="M1710"/>
  <c r="M1712"/>
  <c r="M1715"/>
  <c r="M1716"/>
  <c r="M1717"/>
  <c r="M1718"/>
  <c r="M1720"/>
  <c r="M1721"/>
  <c r="M1722"/>
  <c r="M1723"/>
  <c r="M1724"/>
  <c r="M1725"/>
  <c r="M1726"/>
  <c r="M1728"/>
  <c r="M1729"/>
  <c r="O109"/>
  <c r="O110"/>
  <c r="O112"/>
  <c r="P112" s="1"/>
  <c r="O113"/>
  <c r="O114"/>
  <c r="O115"/>
  <c r="O117"/>
  <c r="O118"/>
  <c r="O130"/>
  <c r="O132"/>
  <c r="O133"/>
  <c r="P133" s="1"/>
  <c r="O134"/>
  <c r="O135"/>
  <c r="O136"/>
  <c r="O137"/>
  <c r="P137" s="1"/>
  <c r="O139"/>
  <c r="O140"/>
  <c r="O141"/>
  <c r="O142"/>
  <c r="P142" s="1"/>
  <c r="O143"/>
  <c r="O144"/>
  <c r="O145"/>
  <c r="O147"/>
  <c r="O148"/>
  <c r="O149"/>
  <c r="O151"/>
  <c r="O152"/>
  <c r="P152" s="1"/>
  <c r="O153"/>
  <c r="O154"/>
  <c r="O156"/>
  <c r="P156" s="1"/>
  <c r="O157"/>
  <c r="P157" s="1"/>
  <c r="O158"/>
  <c r="O159"/>
  <c r="O160"/>
  <c r="P160" s="1"/>
  <c r="O161"/>
  <c r="P161" s="1"/>
  <c r="O162"/>
  <c r="O163"/>
  <c r="O173"/>
  <c r="O174"/>
  <c r="P174" s="1"/>
  <c r="O175"/>
  <c r="O187"/>
  <c r="O189"/>
  <c r="O190"/>
  <c r="P190" s="1"/>
  <c r="O192"/>
  <c r="O193"/>
  <c r="O194"/>
  <c r="O196"/>
  <c r="O198"/>
  <c r="P198" s="1"/>
  <c r="O199"/>
  <c r="O201"/>
  <c r="O207"/>
  <c r="P207" s="1"/>
  <c r="O208"/>
  <c r="O209"/>
  <c r="O210"/>
  <c r="O211"/>
  <c r="P211" s="1"/>
  <c r="O213"/>
  <c r="O214"/>
  <c r="O215"/>
  <c r="O216"/>
  <c r="P216" s="1"/>
  <c r="O217"/>
  <c r="O218"/>
  <c r="O220"/>
  <c r="O221"/>
  <c r="P221" s="1"/>
  <c r="O225"/>
  <c r="O226"/>
  <c r="O228"/>
  <c r="O229"/>
  <c r="O234"/>
  <c r="O235"/>
  <c r="O236"/>
  <c r="O237"/>
  <c r="P237" s="1"/>
  <c r="O239"/>
  <c r="O241"/>
  <c r="O242"/>
  <c r="O248"/>
  <c r="O249"/>
  <c r="O250"/>
  <c r="O251"/>
  <c r="O252"/>
  <c r="O254"/>
  <c r="O255"/>
  <c r="O256"/>
  <c r="O257"/>
  <c r="O258"/>
  <c r="O261"/>
  <c r="O262"/>
  <c r="O263"/>
  <c r="O264"/>
  <c r="O265"/>
  <c r="O266"/>
  <c r="O267"/>
  <c r="O268"/>
  <c r="O269"/>
  <c r="O270"/>
  <c r="O272"/>
  <c r="O273"/>
  <c r="O274"/>
  <c r="O275"/>
  <c r="O276"/>
  <c r="O277"/>
  <c r="O278"/>
  <c r="O279"/>
  <c r="O280"/>
  <c r="O281"/>
  <c r="O282"/>
  <c r="O283"/>
  <c r="O284"/>
  <c r="O285"/>
  <c r="O286"/>
  <c r="O287"/>
  <c r="O288"/>
  <c r="O289"/>
  <c r="O290"/>
  <c r="O291"/>
  <c r="O292"/>
  <c r="O293"/>
  <c r="O295"/>
  <c r="O296"/>
  <c r="O297"/>
  <c r="O300"/>
  <c r="O301"/>
  <c r="O302"/>
  <c r="O303"/>
  <c r="O304"/>
  <c r="O305"/>
  <c r="O306"/>
  <c r="O307"/>
  <c r="O308"/>
  <c r="P308" s="1"/>
  <c r="O310"/>
  <c r="O311"/>
  <c r="O312"/>
  <c r="O313"/>
  <c r="O314"/>
  <c r="O315"/>
  <c r="O317"/>
  <c r="O318"/>
  <c r="O319"/>
  <c r="O320"/>
  <c r="O321"/>
  <c r="O322"/>
  <c r="O323"/>
  <c r="O325"/>
  <c r="O326"/>
  <c r="O327"/>
  <c r="O328"/>
  <c r="O329"/>
  <c r="O330"/>
  <c r="O331"/>
  <c r="O333"/>
  <c r="O334"/>
  <c r="O336"/>
  <c r="O337"/>
  <c r="O338"/>
  <c r="O354"/>
  <c r="O355"/>
  <c r="O357"/>
  <c r="O358"/>
  <c r="O360"/>
  <c r="O361"/>
  <c r="O362"/>
  <c r="O363"/>
  <c r="O366"/>
  <c r="O367"/>
  <c r="O368"/>
  <c r="O369"/>
  <c r="O370"/>
  <c r="O371"/>
  <c r="O373"/>
  <c r="O374"/>
  <c r="O376"/>
  <c r="O388"/>
  <c r="O389"/>
  <c r="P389" s="1"/>
  <c r="O390"/>
  <c r="O392"/>
  <c r="O393"/>
  <c r="O394"/>
  <c r="O395"/>
  <c r="O396"/>
  <c r="O397"/>
  <c r="O398"/>
  <c r="O399"/>
  <c r="O400"/>
  <c r="O402"/>
  <c r="O403"/>
  <c r="O404"/>
  <c r="O405"/>
  <c r="O406"/>
  <c r="O408"/>
  <c r="O409"/>
  <c r="O410"/>
  <c r="O413"/>
  <c r="O414"/>
  <c r="O416"/>
  <c r="O417"/>
  <c r="O418"/>
  <c r="O419"/>
  <c r="O421"/>
  <c r="O422"/>
  <c r="O423"/>
  <c r="O424"/>
  <c r="O425"/>
  <c r="O426"/>
  <c r="O428"/>
  <c r="O439"/>
  <c r="O440"/>
  <c r="O441"/>
  <c r="O442"/>
  <c r="O444"/>
  <c r="O445"/>
  <c r="O447"/>
  <c r="P447" s="1"/>
  <c r="O448"/>
  <c r="O451"/>
  <c r="P451" s="1"/>
  <c r="O452"/>
  <c r="O453"/>
  <c r="O454"/>
  <c r="O455"/>
  <c r="O457"/>
  <c r="O459"/>
  <c r="O470"/>
  <c r="O472"/>
  <c r="O473"/>
  <c r="O474"/>
  <c r="O480"/>
  <c r="O481"/>
  <c r="O482"/>
  <c r="O483"/>
  <c r="O484"/>
  <c r="O485"/>
  <c r="O486"/>
  <c r="P486" s="1"/>
  <c r="O488"/>
  <c r="O489"/>
  <c r="O490"/>
  <c r="O491"/>
  <c r="O492"/>
  <c r="O493"/>
  <c r="O496"/>
  <c r="O497"/>
  <c r="O498"/>
  <c r="O500"/>
  <c r="O502"/>
  <c r="O504"/>
  <c r="O516"/>
  <c r="O517"/>
  <c r="O518"/>
  <c r="O519"/>
  <c r="O520"/>
  <c r="O521"/>
  <c r="O523"/>
  <c r="O524"/>
  <c r="O525"/>
  <c r="O530"/>
  <c r="O531"/>
  <c r="O532"/>
  <c r="O533"/>
  <c r="O536"/>
  <c r="O537"/>
  <c r="O538"/>
  <c r="O539"/>
  <c r="O540"/>
  <c r="O542"/>
  <c r="O543"/>
  <c r="O544"/>
  <c r="O545"/>
  <c r="O546"/>
  <c r="O547"/>
  <c r="O548"/>
  <c r="O549"/>
  <c r="O550"/>
  <c r="O551"/>
  <c r="O552"/>
  <c r="O556"/>
  <c r="O560"/>
  <c r="O562"/>
  <c r="O563"/>
  <c r="P563" s="1"/>
  <c r="O574"/>
  <c r="O575"/>
  <c r="O576"/>
  <c r="O577"/>
  <c r="O578"/>
  <c r="O579"/>
  <c r="O580"/>
  <c r="O581"/>
  <c r="O582"/>
  <c r="O583"/>
  <c r="O584"/>
  <c r="O585"/>
  <c r="O586"/>
  <c r="O588"/>
  <c r="O594"/>
  <c r="O596"/>
  <c r="O597"/>
  <c r="O599"/>
  <c r="O602"/>
  <c r="O608"/>
  <c r="O613"/>
  <c r="O614"/>
  <c r="O621"/>
  <c r="O624"/>
  <c r="O625"/>
  <c r="O626"/>
  <c r="O627"/>
  <c r="O628"/>
  <c r="O629"/>
  <c r="O630"/>
  <c r="O631"/>
  <c r="O632"/>
  <c r="O633"/>
  <c r="O634"/>
  <c r="O635"/>
  <c r="O646"/>
  <c r="O647"/>
  <c r="O649"/>
  <c r="O651"/>
  <c r="O652"/>
  <c r="O653"/>
  <c r="O654"/>
  <c r="O655"/>
  <c r="O656"/>
  <c r="O657"/>
  <c r="O658"/>
  <c r="O659"/>
  <c r="O660"/>
  <c r="O661"/>
  <c r="O662"/>
  <c r="O663"/>
  <c r="O664"/>
  <c r="O668"/>
  <c r="O669"/>
  <c r="O670"/>
  <c r="O671"/>
  <c r="O672"/>
  <c r="O673"/>
  <c r="O675"/>
  <c r="O676"/>
  <c r="O677"/>
  <c r="O678"/>
  <c r="O679"/>
  <c r="O680"/>
  <c r="O683"/>
  <c r="O684"/>
  <c r="O685"/>
  <c r="O687"/>
  <c r="O688"/>
  <c r="O689"/>
  <c r="O690"/>
  <c r="O691"/>
  <c r="O692"/>
  <c r="O693"/>
  <c r="O695"/>
  <c r="O696"/>
  <c r="O697"/>
  <c r="O698"/>
  <c r="O699"/>
  <c r="O700"/>
  <c r="O701"/>
  <c r="O702"/>
  <c r="O703"/>
  <c r="O706"/>
  <c r="O708"/>
  <c r="O710"/>
  <c r="O720"/>
  <c r="O721"/>
  <c r="O722"/>
  <c r="O723"/>
  <c r="O724"/>
  <c r="O725"/>
  <c r="O726"/>
  <c r="O727"/>
  <c r="O728"/>
  <c r="O732"/>
  <c r="P732" s="1"/>
  <c r="O733"/>
  <c r="O734"/>
  <c r="O735"/>
  <c r="O736"/>
  <c r="O737"/>
  <c r="O738"/>
  <c r="O739"/>
  <c r="O744"/>
  <c r="O755"/>
  <c r="O757"/>
  <c r="O758"/>
  <c r="O759"/>
  <c r="O766"/>
  <c r="O767"/>
  <c r="O768"/>
  <c r="O769"/>
  <c r="O770"/>
  <c r="O772"/>
  <c r="O773"/>
  <c r="O774"/>
  <c r="O775"/>
  <c r="O776"/>
  <c r="O777"/>
  <c r="O780"/>
  <c r="O781"/>
  <c r="O782"/>
  <c r="P782" s="1"/>
  <c r="O783"/>
  <c r="O784"/>
  <c r="O785"/>
  <c r="O787"/>
  <c r="O789"/>
  <c r="O790"/>
  <c r="O801"/>
  <c r="P801" s="1"/>
  <c r="O802"/>
  <c r="O804"/>
  <c r="O805"/>
  <c r="O806"/>
  <c r="P806" s="1"/>
  <c r="O807"/>
  <c r="O808"/>
  <c r="O809"/>
  <c r="O810"/>
  <c r="O811"/>
  <c r="O812"/>
  <c r="O814"/>
  <c r="O815"/>
  <c r="P815" s="1"/>
  <c r="O816"/>
  <c r="O817"/>
  <c r="O818"/>
  <c r="O820"/>
  <c r="P820" s="1"/>
  <c r="O821"/>
  <c r="O824"/>
  <c r="P824" s="1"/>
  <c r="O826"/>
  <c r="P826" s="1"/>
  <c r="O827"/>
  <c r="O828"/>
  <c r="O829"/>
  <c r="O830"/>
  <c r="O831"/>
  <c r="P831" s="1"/>
  <c r="O832"/>
  <c r="O833"/>
  <c r="O834"/>
  <c r="O835"/>
  <c r="P835" s="1"/>
  <c r="O837"/>
  <c r="O849"/>
  <c r="O851"/>
  <c r="O852"/>
  <c r="O854"/>
  <c r="O855"/>
  <c r="O856"/>
  <c r="O857"/>
  <c r="P857" s="1"/>
  <c r="O858"/>
  <c r="O859"/>
  <c r="O860"/>
  <c r="O861"/>
  <c r="P861" s="1"/>
  <c r="O862"/>
  <c r="O863"/>
  <c r="O864"/>
  <c r="O866"/>
  <c r="P866" s="1"/>
  <c r="O867"/>
  <c r="O868"/>
  <c r="O869"/>
  <c r="O871"/>
  <c r="P871" s="1"/>
  <c r="O875"/>
  <c r="O876"/>
  <c r="O887"/>
  <c r="O888"/>
  <c r="P888" s="1"/>
  <c r="O890"/>
  <c r="O891"/>
  <c r="O892"/>
  <c r="O893"/>
  <c r="O894"/>
  <c r="O895"/>
  <c r="O896"/>
  <c r="O897"/>
  <c r="O898"/>
  <c r="O899"/>
  <c r="O901"/>
  <c r="O902"/>
  <c r="P902" s="1"/>
  <c r="O906"/>
  <c r="O907"/>
  <c r="O908"/>
  <c r="O909"/>
  <c r="P909" s="1"/>
  <c r="O910"/>
  <c r="O911"/>
  <c r="O912"/>
  <c r="O913"/>
  <c r="P913" s="1"/>
  <c r="O914"/>
  <c r="O916"/>
  <c r="O926"/>
  <c r="O927"/>
  <c r="O928"/>
  <c r="O929"/>
  <c r="O930"/>
  <c r="O931"/>
  <c r="O932"/>
  <c r="O933"/>
  <c r="O935"/>
  <c r="O937"/>
  <c r="P937" s="1"/>
  <c r="O938"/>
  <c r="O939"/>
  <c r="O940"/>
  <c r="O941"/>
  <c r="P941" s="1"/>
  <c r="O942"/>
  <c r="O943"/>
  <c r="O944"/>
  <c r="O946"/>
  <c r="P946" s="1"/>
  <c r="O947"/>
  <c r="O948"/>
  <c r="O949"/>
  <c r="O950"/>
  <c r="P950" s="1"/>
  <c r="O953"/>
  <c r="O954"/>
  <c r="O955"/>
  <c r="O957"/>
  <c r="P957" s="1"/>
  <c r="O958"/>
  <c r="O959"/>
  <c r="O960"/>
  <c r="O961"/>
  <c r="P961" s="1"/>
  <c r="O965"/>
  <c r="O966"/>
  <c r="O967"/>
  <c r="O968"/>
  <c r="O969"/>
  <c r="O970"/>
  <c r="O971"/>
  <c r="O973"/>
  <c r="O975"/>
  <c r="O976"/>
  <c r="P976" s="1"/>
  <c r="O977"/>
  <c r="O979"/>
  <c r="O983"/>
  <c r="O984"/>
  <c r="P984" s="1"/>
  <c r="O995"/>
  <c r="O998"/>
  <c r="O999"/>
  <c r="O1000"/>
  <c r="P1000" s="1"/>
  <c r="O1002"/>
  <c r="O1004"/>
  <c r="O1005"/>
  <c r="O1006"/>
  <c r="P1006" s="1"/>
  <c r="O1007"/>
  <c r="O1008"/>
  <c r="O1009"/>
  <c r="O1011"/>
  <c r="P1011" s="1"/>
  <c r="O1012"/>
  <c r="O1015"/>
  <c r="O1016"/>
  <c r="O1017"/>
  <c r="P1017" s="1"/>
  <c r="O1018"/>
  <c r="O1019"/>
  <c r="O1020"/>
  <c r="O1021"/>
  <c r="P1021" s="1"/>
  <c r="O1022"/>
  <c r="O1023"/>
  <c r="O1024"/>
  <c r="O1026"/>
  <c r="P1026" s="1"/>
  <c r="O1029"/>
  <c r="O1030"/>
  <c r="O1041"/>
  <c r="O1042"/>
  <c r="P1042" s="1"/>
  <c r="O1043"/>
  <c r="O1044"/>
  <c r="O1045"/>
  <c r="O1046"/>
  <c r="P1046" s="1"/>
  <c r="O1048"/>
  <c r="O1052"/>
  <c r="O1053"/>
  <c r="O1054"/>
  <c r="P1054" s="1"/>
  <c r="O1056"/>
  <c r="O1057"/>
  <c r="O1060"/>
  <c r="O1061"/>
  <c r="O1063"/>
  <c r="O1065"/>
  <c r="O1067"/>
  <c r="O1068"/>
  <c r="O1069"/>
  <c r="O1072"/>
  <c r="O1073"/>
  <c r="O1074"/>
  <c r="P1074" s="1"/>
  <c r="O1075"/>
  <c r="O1076"/>
  <c r="O1077"/>
  <c r="O1078"/>
  <c r="P1078" s="1"/>
  <c r="O1080"/>
  <c r="O1091"/>
  <c r="O1092"/>
  <c r="O1094"/>
  <c r="P1094" s="1"/>
  <c r="O1095"/>
  <c r="O1096"/>
  <c r="O1097"/>
  <c r="O1098"/>
  <c r="P1098" s="1"/>
  <c r="O1100"/>
  <c r="O1101"/>
  <c r="O1102"/>
  <c r="O1103"/>
  <c r="P1103" s="1"/>
  <c r="O1105"/>
  <c r="O1109"/>
  <c r="O1110"/>
  <c r="O1111"/>
  <c r="O1112"/>
  <c r="O1113"/>
  <c r="O1115"/>
  <c r="O1116"/>
  <c r="O1117"/>
  <c r="O1118"/>
  <c r="O1119"/>
  <c r="O1120"/>
  <c r="O1122"/>
  <c r="O1123"/>
  <c r="O1125"/>
  <c r="O1126"/>
  <c r="O1129"/>
  <c r="O1130"/>
  <c r="O1141"/>
  <c r="P1141" s="1"/>
  <c r="O1142"/>
  <c r="O1144"/>
  <c r="O1146"/>
  <c r="O1147"/>
  <c r="O1148"/>
  <c r="O1149"/>
  <c r="O1150"/>
  <c r="O1151"/>
  <c r="O1153"/>
  <c r="O1154"/>
  <c r="O1156"/>
  <c r="O1157"/>
  <c r="P1157" s="1"/>
  <c r="O1160"/>
  <c r="O1161"/>
  <c r="O1162"/>
  <c r="O1163"/>
  <c r="P1163" s="1"/>
  <c r="O1164"/>
  <c r="O1165"/>
  <c r="O1166"/>
  <c r="O1168"/>
  <c r="P1168" s="1"/>
  <c r="O1180"/>
  <c r="O1181"/>
  <c r="P1181" s="1"/>
  <c r="O1182"/>
  <c r="O1183"/>
  <c r="P1183" s="1"/>
  <c r="O1184"/>
  <c r="O1185"/>
  <c r="O1186"/>
  <c r="O1188"/>
  <c r="P1188" s="1"/>
  <c r="O1190"/>
  <c r="O1191"/>
  <c r="O1192"/>
  <c r="O1194"/>
  <c r="P1194" s="1"/>
  <c r="O1195"/>
  <c r="O1196"/>
  <c r="O1198"/>
  <c r="O1199"/>
  <c r="P1199" s="1"/>
  <c r="O1200"/>
  <c r="O1201"/>
  <c r="O1205"/>
  <c r="O1206"/>
  <c r="P1206" s="1"/>
  <c r="O1207"/>
  <c r="O1209"/>
  <c r="O1210"/>
  <c r="O1211"/>
  <c r="O1212"/>
  <c r="O1214"/>
  <c r="O1215"/>
  <c r="O1216"/>
  <c r="O1218"/>
  <c r="O1220"/>
  <c r="O1222"/>
  <c r="O1233"/>
  <c r="O1235"/>
  <c r="O1236"/>
  <c r="O1238"/>
  <c r="O1239"/>
  <c r="O1240"/>
  <c r="O1241"/>
  <c r="O1242"/>
  <c r="O1243"/>
  <c r="O1244"/>
  <c r="O1245"/>
  <c r="O1246"/>
  <c r="O1247"/>
  <c r="P1247" s="1"/>
  <c r="O1248"/>
  <c r="O1249"/>
  <c r="O1250"/>
  <c r="O1251"/>
  <c r="P1251" s="1"/>
  <c r="O1252"/>
  <c r="O1255"/>
  <c r="O1256"/>
  <c r="O1257"/>
  <c r="O1258"/>
  <c r="O1259"/>
  <c r="O1260"/>
  <c r="O1261"/>
  <c r="O1262"/>
  <c r="O1263"/>
  <c r="O1264"/>
  <c r="O1265"/>
  <c r="O1266"/>
  <c r="O1267"/>
  <c r="O1268"/>
  <c r="O1270"/>
  <c r="P1270" s="1"/>
  <c r="O1272"/>
  <c r="O1273"/>
  <c r="O1274"/>
  <c r="O1275"/>
  <c r="O1276"/>
  <c r="O1277"/>
  <c r="O1278"/>
  <c r="O1279"/>
  <c r="P1279" s="1"/>
  <c r="O1280"/>
  <c r="O1281"/>
  <c r="O1286"/>
  <c r="O1298"/>
  <c r="O1300"/>
  <c r="O1301"/>
  <c r="O1302"/>
  <c r="O1304"/>
  <c r="P1304" s="1"/>
  <c r="O1305"/>
  <c r="O1306"/>
  <c r="O1308"/>
  <c r="O1309"/>
  <c r="P1309" s="1"/>
  <c r="O1313"/>
  <c r="O1315"/>
  <c r="O1318"/>
  <c r="O1319"/>
  <c r="O1320"/>
  <c r="O1322"/>
  <c r="O1323"/>
  <c r="O1326"/>
  <c r="O1329"/>
  <c r="O1332"/>
  <c r="O1333"/>
  <c r="O1336"/>
  <c r="P1336" s="1"/>
  <c r="O1338"/>
  <c r="O1339"/>
  <c r="O1342"/>
  <c r="O1344"/>
  <c r="P1344" s="1"/>
  <c r="O1349"/>
  <c r="O1350"/>
  <c r="O1352"/>
  <c r="O1353"/>
  <c r="P1353" s="1"/>
  <c r="O1354"/>
  <c r="O1355"/>
  <c r="O1356"/>
  <c r="O1357"/>
  <c r="P1357" s="1"/>
  <c r="O1359"/>
  <c r="O1361"/>
  <c r="O1362"/>
  <c r="O1363"/>
  <c r="O1364"/>
  <c r="O1368"/>
  <c r="O1380"/>
  <c r="O1381"/>
  <c r="P1381" s="1"/>
  <c r="O1382"/>
  <c r="O1383"/>
  <c r="O1385"/>
  <c r="O1386"/>
  <c r="P1386" s="1"/>
  <c r="O1387"/>
  <c r="O1388"/>
  <c r="O1389"/>
  <c r="O1391"/>
  <c r="P1391" s="1"/>
  <c r="O1392"/>
  <c r="O1393"/>
  <c r="O1397"/>
  <c r="O1398"/>
  <c r="P1398" s="1"/>
  <c r="O1399"/>
  <c r="O1401"/>
  <c r="O1402"/>
  <c r="O1403"/>
  <c r="P1403" s="1"/>
  <c r="O1404"/>
  <c r="O1405"/>
  <c r="O1406"/>
  <c r="O1407"/>
  <c r="P1407" s="1"/>
  <c r="O1408"/>
  <c r="O1409"/>
  <c r="O1410"/>
  <c r="O1412"/>
  <c r="O1413"/>
  <c r="O1418"/>
  <c r="O1419"/>
  <c r="O1421"/>
  <c r="O1422"/>
  <c r="P1422" s="1"/>
  <c r="O1423"/>
  <c r="O1424"/>
  <c r="O1425"/>
  <c r="O1429"/>
  <c r="O1430"/>
  <c r="O1431"/>
  <c r="O1432"/>
  <c r="O1433"/>
  <c r="O1437"/>
  <c r="O1438"/>
  <c r="O1439"/>
  <c r="O1440"/>
  <c r="O1441"/>
  <c r="O1443"/>
  <c r="O1444"/>
  <c r="P1444" s="1"/>
  <c r="O1445"/>
  <c r="O1446"/>
  <c r="O1447"/>
  <c r="O1448"/>
  <c r="P1448" s="1"/>
  <c r="O1449"/>
  <c r="O1450"/>
  <c r="O1451"/>
  <c r="O1463"/>
  <c r="P1463" s="1"/>
  <c r="O1464"/>
  <c r="O1465"/>
  <c r="O1466"/>
  <c r="O1467"/>
  <c r="P1467" s="1"/>
  <c r="O1469"/>
  <c r="O1470"/>
  <c r="O1472"/>
  <c r="O1475"/>
  <c r="P1475" s="1"/>
  <c r="O1476"/>
  <c r="O1477"/>
  <c r="O1479"/>
  <c r="O1480"/>
  <c r="P1480" s="1"/>
  <c r="O1483"/>
  <c r="O1484"/>
  <c r="O1485"/>
  <c r="O1486"/>
  <c r="O1487"/>
  <c r="O1488"/>
  <c r="O1489"/>
  <c r="O1490"/>
  <c r="P1490" s="1"/>
  <c r="O1491"/>
  <c r="O1492"/>
  <c r="O1493"/>
  <c r="O1494"/>
  <c r="P1494" s="1"/>
  <c r="O1495"/>
  <c r="O1496"/>
  <c r="O1497"/>
  <c r="O1498"/>
  <c r="P1498" s="1"/>
  <c r="O1499"/>
  <c r="O1500"/>
  <c r="O1501"/>
  <c r="O1502"/>
  <c r="O1504"/>
  <c r="O1505"/>
  <c r="O1506"/>
  <c r="O1507"/>
  <c r="P1507" s="1"/>
  <c r="O1508"/>
  <c r="O1509"/>
  <c r="O1510"/>
  <c r="O1514"/>
  <c r="P1514" s="1"/>
  <c r="O1515"/>
  <c r="O1517"/>
  <c r="O1518"/>
  <c r="O1520"/>
  <c r="P1520" s="1"/>
  <c r="O1521"/>
  <c r="O1522"/>
  <c r="O1523"/>
  <c r="O1524"/>
  <c r="O1525"/>
  <c r="O1526"/>
  <c r="O1527"/>
  <c r="O1528"/>
  <c r="O1529"/>
  <c r="O1531"/>
  <c r="O1544"/>
  <c r="O1545"/>
  <c r="O1546"/>
  <c r="O1548"/>
  <c r="O1549"/>
  <c r="O1550"/>
  <c r="O1551"/>
  <c r="O1552"/>
  <c r="O1553"/>
  <c r="O1555"/>
  <c r="O1560"/>
  <c r="O1561"/>
  <c r="O1562"/>
  <c r="O1564"/>
  <c r="P1564" s="1"/>
  <c r="O1568"/>
  <c r="O1569"/>
  <c r="O1570"/>
  <c r="O1581"/>
  <c r="O1583"/>
  <c r="O1584"/>
  <c r="O1585"/>
  <c r="O1586"/>
  <c r="P1586" s="1"/>
  <c r="O1587"/>
  <c r="O1588"/>
  <c r="O1589"/>
  <c r="O1590"/>
  <c r="P1590" s="1"/>
  <c r="O1591"/>
  <c r="O1592"/>
  <c r="O1593"/>
  <c r="O1594"/>
  <c r="P1594" s="1"/>
  <c r="O1596"/>
  <c r="O1597"/>
  <c r="O1599"/>
  <c r="O1600"/>
  <c r="P1600" s="1"/>
  <c r="O1601"/>
  <c r="O1602"/>
  <c r="O1603"/>
  <c r="O1604"/>
  <c r="P1604" s="1"/>
  <c r="O1605"/>
  <c r="O1608"/>
  <c r="O1609"/>
  <c r="O1610"/>
  <c r="O1611"/>
  <c r="O1612"/>
  <c r="O1613"/>
  <c r="O1614"/>
  <c r="P1614" s="1"/>
  <c r="O1615"/>
  <c r="O1616"/>
  <c r="O1617"/>
  <c r="O1619"/>
  <c r="P1619" s="1"/>
  <c r="O1631"/>
  <c r="O1632"/>
  <c r="O1634"/>
  <c r="O1635"/>
  <c r="O1636"/>
  <c r="O1637"/>
  <c r="O1638"/>
  <c r="O1639"/>
  <c r="O1640"/>
  <c r="O1641"/>
  <c r="O1642"/>
  <c r="O1643"/>
  <c r="P1643" s="1"/>
  <c r="O1645"/>
  <c r="O1646"/>
  <c r="O1647"/>
  <c r="O1648"/>
  <c r="O1649"/>
  <c r="O1650"/>
  <c r="O1654"/>
  <c r="O1655"/>
  <c r="P1655" s="1"/>
  <c r="O1657"/>
  <c r="O1658"/>
  <c r="O1659"/>
  <c r="O1660"/>
  <c r="O1661"/>
  <c r="O1662"/>
  <c r="O1663"/>
  <c r="O1664"/>
  <c r="P1664" s="1"/>
  <c r="O1665"/>
  <c r="O1666"/>
  <c r="O1677"/>
  <c r="O1679"/>
  <c r="P1679" s="1"/>
  <c r="O1691"/>
  <c r="O1692"/>
  <c r="O1693"/>
  <c r="P1693" s="1"/>
  <c r="O1694"/>
  <c r="O1696"/>
  <c r="O1697"/>
  <c r="P1697" s="1"/>
  <c r="O1698"/>
  <c r="P1698" s="1"/>
  <c r="O1699"/>
  <c r="O1701"/>
  <c r="O1707"/>
  <c r="P1707" s="1"/>
  <c r="O1708"/>
  <c r="P1708" s="1"/>
  <c r="O1710"/>
  <c r="O1712"/>
  <c r="O1715"/>
  <c r="P1715" s="1"/>
  <c r="O1716"/>
  <c r="O1717"/>
  <c r="O1718"/>
  <c r="O1720"/>
  <c r="O1721"/>
  <c r="P1721" s="1"/>
  <c r="O1722"/>
  <c r="O1723"/>
  <c r="O1724"/>
  <c r="O1725"/>
  <c r="P1725" s="1"/>
  <c r="O1726"/>
  <c r="O1728"/>
  <c r="O1729"/>
  <c r="O41"/>
  <c r="O42"/>
  <c r="O44"/>
  <c r="P44" s="1"/>
  <c r="O45"/>
  <c r="O54"/>
  <c r="O56"/>
  <c r="O57"/>
  <c r="O58"/>
  <c r="O59"/>
  <c r="O60"/>
  <c r="O61"/>
  <c r="O62"/>
  <c r="O63"/>
  <c r="O64"/>
  <c r="O65"/>
  <c r="P65" s="1"/>
  <c r="O66"/>
  <c r="O67"/>
  <c r="O68"/>
  <c r="O70"/>
  <c r="P70" s="1"/>
  <c r="O72"/>
  <c r="O73"/>
  <c r="O76"/>
  <c r="P76" s="1"/>
  <c r="O77"/>
  <c r="P77" s="1"/>
  <c r="O78"/>
  <c r="O79"/>
  <c r="O80"/>
  <c r="P80" s="1"/>
  <c r="O81"/>
  <c r="O83"/>
  <c r="O85"/>
  <c r="O86"/>
  <c r="O87"/>
  <c r="P87" s="1"/>
  <c r="O89"/>
  <c r="O90"/>
  <c r="O91"/>
  <c r="O92"/>
  <c r="O93"/>
  <c r="O94"/>
  <c r="O95"/>
  <c r="O96"/>
  <c r="O98"/>
  <c r="O24"/>
  <c r="O25"/>
  <c r="O26"/>
  <c r="O27"/>
  <c r="P27" s="1"/>
  <c r="O28"/>
  <c r="O30"/>
  <c r="O31"/>
  <c r="O32"/>
  <c r="O33"/>
  <c r="O34"/>
  <c r="O35"/>
  <c r="P35" s="1"/>
  <c r="O36"/>
  <c r="O37"/>
  <c r="O17"/>
  <c r="P17" s="1"/>
  <c r="O18"/>
  <c r="O19"/>
  <c r="O20"/>
  <c r="P20" s="1"/>
  <c r="O21"/>
  <c r="P21" s="1"/>
  <c r="M16"/>
  <c r="O16"/>
  <c r="D2"/>
  <c r="D3"/>
  <c r="D4"/>
  <c r="D5"/>
  <c r="D1"/>
  <c r="P7" i="86"/>
  <c r="H1900" s="1"/>
  <c r="H57"/>
  <c r="P1439" i="79" l="1"/>
  <c r="P1363"/>
  <c r="P1326"/>
  <c r="P1298"/>
  <c r="P1275"/>
  <c r="P1265"/>
  <c r="P1261"/>
  <c r="P1257"/>
  <c r="P1243"/>
  <c r="P1216"/>
  <c r="P1211"/>
  <c r="P1151"/>
  <c r="P1147"/>
  <c r="P897"/>
  <c r="P849"/>
  <c r="P1421"/>
  <c r="P1102"/>
  <c r="P1092"/>
  <c r="P1077"/>
  <c r="P1067"/>
  <c r="P1060"/>
  <c r="P1053"/>
  <c r="P1045"/>
  <c r="P1041"/>
  <c r="P1425"/>
  <c r="P1091"/>
  <c r="P452"/>
  <c r="P518"/>
  <c r="P199"/>
  <c r="P187"/>
  <c r="P144"/>
  <c r="P98"/>
  <c r="P93"/>
  <c r="P89"/>
  <c r="P83"/>
  <c r="P72"/>
  <c r="P66"/>
  <c r="P45"/>
  <c r="P1423"/>
  <c r="P1418"/>
  <c r="P1100"/>
  <c r="P1095"/>
  <c r="P1080"/>
  <c r="P1075"/>
  <c r="P1069"/>
  <c r="P1063"/>
  <c r="P1048"/>
  <c r="P1043"/>
  <c r="P1029"/>
  <c r="P455"/>
  <c r="P444"/>
  <c r="P439"/>
  <c r="P424"/>
  <c r="P419"/>
  <c r="P414"/>
  <c r="P408"/>
  <c r="P403"/>
  <c r="P398"/>
  <c r="P394"/>
  <c r="P373"/>
  <c r="P357"/>
  <c r="P18"/>
  <c r="P1126"/>
  <c r="P1120"/>
  <c r="P1116"/>
  <c r="P225"/>
  <c r="P217"/>
  <c r="P213"/>
  <c r="P208"/>
  <c r="P153"/>
  <c r="P148"/>
  <c r="P143"/>
  <c r="P139"/>
  <c r="P134"/>
  <c r="P113"/>
  <c r="P1424"/>
  <c r="P1419"/>
  <c r="P1101"/>
  <c r="P1096"/>
  <c r="P1076"/>
  <c r="P1072"/>
  <c r="P1065"/>
  <c r="P1057"/>
  <c r="P1052"/>
  <c r="P1044"/>
  <c r="P1030"/>
  <c r="P1023"/>
  <c r="P1019"/>
  <c r="P1015"/>
  <c r="P1008"/>
  <c r="P1004"/>
  <c r="P502"/>
  <c r="P1728"/>
  <c r="P536"/>
  <c r="P94"/>
  <c r="P73"/>
  <c r="P1658"/>
  <c r="P1561"/>
  <c r="P1552"/>
  <c r="P1548"/>
  <c r="P1522"/>
  <c r="P1500"/>
  <c r="P1496"/>
  <c r="P1723"/>
  <c r="P1696"/>
  <c r="P1691"/>
  <c r="P196"/>
  <c r="P998"/>
  <c r="P1659"/>
  <c r="P1593"/>
  <c r="P1589"/>
  <c r="P1570"/>
  <c r="P1562"/>
  <c r="P1553"/>
  <c r="P1549"/>
  <c r="P1544"/>
  <c r="P1485"/>
  <c r="P1479"/>
  <c r="P1380"/>
  <c r="P1362"/>
  <c r="P1274"/>
  <c r="P1268"/>
  <c r="P1242"/>
  <c r="P1238"/>
  <c r="P1222"/>
  <c r="P1215"/>
  <c r="P1210"/>
  <c r="P1150"/>
  <c r="P37"/>
  <c r="P33"/>
  <c r="P28"/>
  <c r="P24"/>
  <c r="P1716"/>
  <c r="P1118"/>
  <c r="P758"/>
  <c r="P703"/>
  <c r="P699"/>
  <c r="P695"/>
  <c r="P690"/>
  <c r="P685"/>
  <c r="P679"/>
  <c r="P675"/>
  <c r="P670"/>
  <c r="P663"/>
  <c r="P651"/>
  <c r="P334"/>
  <c r="P329"/>
  <c r="P325"/>
  <c r="P315"/>
  <c r="P311"/>
  <c r="P306"/>
  <c r="P302"/>
  <c r="P296"/>
  <c r="P270"/>
  <c r="P266"/>
  <c r="P262"/>
  <c r="P256"/>
  <c r="P251"/>
  <c r="P242"/>
  <c r="P1666"/>
  <c r="P1662"/>
  <c r="P1650"/>
  <c r="P1646"/>
  <c r="P1641"/>
  <c r="P1637"/>
  <c r="P1632"/>
  <c r="P1616"/>
  <c r="P1612"/>
  <c r="P1608"/>
  <c r="P1602"/>
  <c r="P1592"/>
  <c r="P1531"/>
  <c r="P1526"/>
  <c r="P1509"/>
  <c r="P1505"/>
  <c r="P1492"/>
  <c r="P1484"/>
  <c r="P1477"/>
  <c r="P1470"/>
  <c r="P1465"/>
  <c r="P1450"/>
  <c r="P1446"/>
  <c r="P1441"/>
  <c r="P1409"/>
  <c r="P1405"/>
  <c r="P1401"/>
  <c r="P1393"/>
  <c r="P1388"/>
  <c r="P1383"/>
  <c r="P1355"/>
  <c r="P1350"/>
  <c r="P1339"/>
  <c r="P1332"/>
  <c r="P1322"/>
  <c r="P1306"/>
  <c r="P1301"/>
  <c r="P1281"/>
  <c r="P1277"/>
  <c r="P1255"/>
  <c r="P1249"/>
  <c r="P1245"/>
  <c r="P1236"/>
  <c r="P1220"/>
  <c r="P1201"/>
  <c r="P1196"/>
  <c r="P1185"/>
  <c r="P1165"/>
  <c r="P1154"/>
  <c r="P1149"/>
  <c r="P1144"/>
  <c r="P759"/>
  <c r="P744"/>
  <c r="P706"/>
  <c r="P700"/>
  <c r="P691"/>
  <c r="P687"/>
  <c r="P680"/>
  <c r="P676"/>
  <c r="P671"/>
  <c r="P664"/>
  <c r="P646"/>
  <c r="P330"/>
  <c r="P326"/>
  <c r="P321"/>
  <c r="P317"/>
  <c r="P312"/>
  <c r="P307"/>
  <c r="P303"/>
  <c r="P297"/>
  <c r="P292"/>
  <c r="P288"/>
  <c r="P284"/>
  <c r="P280"/>
  <c r="P276"/>
  <c r="P272"/>
  <c r="P267"/>
  <c r="P263"/>
  <c r="P257"/>
  <c r="P252"/>
  <c r="P248"/>
  <c r="P34"/>
  <c r="P90"/>
  <c r="P67"/>
  <c r="P63"/>
  <c r="P54"/>
  <c r="P958"/>
  <c r="P947"/>
  <c r="P942"/>
  <c r="P938"/>
  <c r="P932"/>
  <c r="P914"/>
  <c r="P910"/>
  <c r="P906"/>
  <c r="P875"/>
  <c r="P867"/>
  <c r="P862"/>
  <c r="P858"/>
  <c r="P854"/>
  <c r="P837"/>
  <c r="P832"/>
  <c r="P816"/>
  <c r="P802"/>
  <c r="P519"/>
  <c r="P504"/>
  <c r="P473"/>
  <c r="P445"/>
  <c r="P440"/>
  <c r="P425"/>
  <c r="P421"/>
  <c r="P416"/>
  <c r="P409"/>
  <c r="P404"/>
  <c r="P399"/>
  <c r="P395"/>
  <c r="P390"/>
  <c r="P374"/>
  <c r="P358"/>
  <c r="P354"/>
  <c r="P19"/>
  <c r="P995"/>
  <c r="P973"/>
  <c r="P226"/>
  <c r="P218"/>
  <c r="P214"/>
  <c r="P209"/>
  <c r="P193"/>
  <c r="P163"/>
  <c r="P159"/>
  <c r="P154"/>
  <c r="P149"/>
  <c r="P140"/>
  <c r="P135"/>
  <c r="P130"/>
  <c r="P114"/>
  <c r="P109"/>
  <c r="P1638"/>
  <c r="P1585"/>
  <c r="P1588"/>
  <c r="P1246"/>
  <c r="P1156"/>
  <c r="P1130"/>
  <c r="P821"/>
  <c r="P812"/>
  <c r="P811"/>
  <c r="P655"/>
  <c r="P656"/>
  <c r="P602"/>
  <c r="P117"/>
  <c r="P79"/>
  <c r="P1677"/>
  <c r="P1663"/>
  <c r="P1654"/>
  <c r="P1648"/>
  <c r="P1647"/>
  <c r="P1642"/>
  <c r="P1617"/>
  <c r="P1613"/>
  <c r="P1603"/>
  <c r="P1599"/>
  <c r="P1581"/>
  <c r="P1528"/>
  <c r="P1524"/>
  <c r="P1527"/>
  <c r="P1506"/>
  <c r="P1510"/>
  <c r="P1518"/>
  <c r="P1517"/>
  <c r="P1493"/>
  <c r="P1472"/>
  <c r="P1466"/>
  <c r="P1451"/>
  <c r="P1447"/>
  <c r="P1443"/>
  <c r="P1438"/>
  <c r="P1412"/>
  <c r="P1410"/>
  <c r="P1406"/>
  <c r="P1402"/>
  <c r="P1397"/>
  <c r="P1389"/>
  <c r="P1385"/>
  <c r="P1356"/>
  <c r="P1352"/>
  <c r="P1342"/>
  <c r="P1333"/>
  <c r="P1323"/>
  <c r="P1319"/>
  <c r="P1318"/>
  <c r="P1308"/>
  <c r="P1302"/>
  <c r="P1286"/>
  <c r="P1278"/>
  <c r="P1264"/>
  <c r="P1263"/>
  <c r="P1260"/>
  <c r="P1256"/>
  <c r="P1250"/>
  <c r="P1233"/>
  <c r="P1205"/>
  <c r="P1198"/>
  <c r="P1192"/>
  <c r="P1186"/>
  <c r="P1182"/>
  <c r="P1166"/>
  <c r="P1162"/>
  <c r="P1129"/>
  <c r="P1125"/>
  <c r="P1119"/>
  <c r="P1115"/>
  <c r="P1022"/>
  <c r="P1018"/>
  <c r="P1012"/>
  <c r="P1007"/>
  <c r="P1002"/>
  <c r="P979"/>
  <c r="P959"/>
  <c r="P954"/>
  <c r="P953"/>
  <c r="P948"/>
  <c r="P943"/>
  <c r="P939"/>
  <c r="P916"/>
  <c r="P911"/>
  <c r="P907"/>
  <c r="P899"/>
  <c r="P876"/>
  <c r="P868"/>
  <c r="P863"/>
  <c r="P859"/>
  <c r="P855"/>
  <c r="P852"/>
  <c r="P833"/>
  <c r="P817"/>
  <c r="P804"/>
  <c r="P807"/>
  <c r="P789"/>
  <c r="P708"/>
  <c r="P701"/>
  <c r="P692"/>
  <c r="P688"/>
  <c r="P683"/>
  <c r="P677"/>
  <c r="P672"/>
  <c r="P668"/>
  <c r="P661"/>
  <c r="P647"/>
  <c r="P556"/>
  <c r="P532"/>
  <c r="P520"/>
  <c r="P474"/>
  <c r="P459"/>
  <c r="P457"/>
  <c r="P441"/>
  <c r="P422"/>
  <c r="P426"/>
  <c r="P417"/>
  <c r="P410"/>
  <c r="P405"/>
  <c r="P400"/>
  <c r="P396"/>
  <c r="P392"/>
  <c r="P376"/>
  <c r="P360"/>
  <c r="P355"/>
  <c r="P331"/>
  <c r="P327"/>
  <c r="P322"/>
  <c r="P318"/>
  <c r="P320"/>
  <c r="P313"/>
  <c r="P304"/>
  <c r="P300"/>
  <c r="P293"/>
  <c r="P289"/>
  <c r="P285"/>
  <c r="P281"/>
  <c r="P277"/>
  <c r="P273"/>
  <c r="P291"/>
  <c r="P287"/>
  <c r="P283"/>
  <c r="P279"/>
  <c r="P275"/>
  <c r="P268"/>
  <c r="P264"/>
  <c r="P258"/>
  <c r="P254"/>
  <c r="P249"/>
  <c r="P239"/>
  <c r="P234"/>
  <c r="P228"/>
  <c r="P220"/>
  <c r="P215"/>
  <c r="P210"/>
  <c r="P201"/>
  <c r="P192"/>
  <c r="P194"/>
  <c r="P189"/>
  <c r="P162"/>
  <c r="P158"/>
  <c r="P151"/>
  <c r="P147"/>
  <c r="P145"/>
  <c r="P141"/>
  <c r="P136"/>
  <c r="P132"/>
  <c r="P118"/>
  <c r="P115"/>
  <c r="P110"/>
  <c r="P85"/>
  <c r="P86"/>
  <c r="P68"/>
  <c r="P60"/>
  <c r="P42"/>
  <c r="P41"/>
  <c r="P26"/>
  <c r="P25"/>
  <c r="P755"/>
  <c r="P720"/>
  <c r="P516"/>
  <c r="P337"/>
  <c r="P336"/>
  <c r="P1639"/>
  <c r="P1610"/>
  <c r="P1555"/>
  <c r="P1502"/>
  <c r="P1486"/>
  <c r="P1239"/>
  <c r="P1660"/>
  <c r="P1720"/>
  <c r="P1692"/>
  <c r="P1597"/>
  <c r="P1569"/>
  <c r="P1262"/>
  <c r="P1160"/>
  <c r="P1112"/>
  <c r="P970"/>
  <c r="P966"/>
  <c r="P892"/>
  <c r="P814"/>
  <c r="P809"/>
  <c r="P785"/>
  <c r="P781"/>
  <c r="P775"/>
  <c r="P766"/>
  <c r="P698"/>
  <c r="P673"/>
  <c r="P658"/>
  <c r="P654"/>
  <c r="P634"/>
  <c r="P630"/>
  <c r="P626"/>
  <c r="P613"/>
  <c r="P539"/>
  <c r="P533"/>
  <c r="P493"/>
  <c r="P489"/>
  <c r="P480"/>
  <c r="P454"/>
  <c r="P448"/>
  <c r="P371"/>
  <c r="P61"/>
  <c r="P1432"/>
  <c r="P1729"/>
  <c r="P1724"/>
  <c r="P1718"/>
  <c r="P1712"/>
  <c r="P1701"/>
  <c r="P1635"/>
  <c r="P1634"/>
  <c r="P1609"/>
  <c r="P1584"/>
  <c r="P1550"/>
  <c r="P1545"/>
  <c r="P1523"/>
  <c r="P1501"/>
  <c r="P1497"/>
  <c r="P1489"/>
  <c r="P1488"/>
  <c r="P1437"/>
  <c r="P1368"/>
  <c r="P1361"/>
  <c r="P1315"/>
  <c r="P1273"/>
  <c r="P1267"/>
  <c r="P1259"/>
  <c r="P1241"/>
  <c r="P1214"/>
  <c r="P1209"/>
  <c r="P1191"/>
  <c r="P1161"/>
  <c r="P1146"/>
  <c r="P1665"/>
  <c r="P1661"/>
  <c r="P1657"/>
  <c r="P1649"/>
  <c r="P1645"/>
  <c r="P1640"/>
  <c r="P1636"/>
  <c r="P1631"/>
  <c r="P1615"/>
  <c r="P1611"/>
  <c r="P1605"/>
  <c r="P1601"/>
  <c r="P1596"/>
  <c r="P1591"/>
  <c r="P1587"/>
  <c r="P1583"/>
  <c r="P1568"/>
  <c r="P1560"/>
  <c r="P1551"/>
  <c r="P1546"/>
  <c r="P1529"/>
  <c r="P1525"/>
  <c r="P1521"/>
  <c r="P1515"/>
  <c r="P1508"/>
  <c r="P1504"/>
  <c r="P1499"/>
  <c r="P1495"/>
  <c r="P1491"/>
  <c r="P1487"/>
  <c r="P1483"/>
  <c r="P1476"/>
  <c r="P1469"/>
  <c r="P1464"/>
  <c r="P1449"/>
  <c r="P1354"/>
  <c r="P1320"/>
  <c r="P1280"/>
  <c r="P1244"/>
  <c r="P1212"/>
  <c r="P1190"/>
  <c r="P1726"/>
  <c r="P1722"/>
  <c r="P1717"/>
  <c r="P1710"/>
  <c r="P1699"/>
  <c r="P1009"/>
  <c r="P584"/>
  <c r="P580"/>
  <c r="P576"/>
  <c r="P551"/>
  <c r="P547"/>
  <c r="P543"/>
  <c r="P16"/>
  <c r="P757"/>
  <c r="P1122"/>
  <c r="P1117"/>
  <c r="P710"/>
  <c r="P702"/>
  <c r="P693"/>
  <c r="P689"/>
  <c r="P684"/>
  <c r="P678"/>
  <c r="P669"/>
  <c r="P662"/>
  <c r="P649"/>
  <c r="P599"/>
  <c r="P560"/>
  <c r="P338"/>
  <c r="P333"/>
  <c r="P328"/>
  <c r="P323"/>
  <c r="P319"/>
  <c r="P314"/>
  <c r="P310"/>
  <c r="P305"/>
  <c r="P301"/>
  <c r="P295"/>
  <c r="P290"/>
  <c r="P286"/>
  <c r="P282"/>
  <c r="P278"/>
  <c r="P274"/>
  <c r="P269"/>
  <c r="P265"/>
  <c r="P261"/>
  <c r="P255"/>
  <c r="P250"/>
  <c r="P241"/>
  <c r="P235"/>
  <c r="P1111"/>
  <c r="P1105"/>
  <c r="P1056"/>
  <c r="P969"/>
  <c r="P965"/>
  <c r="P933"/>
  <c r="P895"/>
  <c r="P891"/>
  <c r="P829"/>
  <c r="P808"/>
  <c r="P784"/>
  <c r="P780"/>
  <c r="P774"/>
  <c r="P697"/>
  <c r="P657"/>
  <c r="P653"/>
  <c r="P633"/>
  <c r="P629"/>
  <c r="P625"/>
  <c r="P621"/>
  <c r="P597"/>
  <c r="P588"/>
  <c r="P583"/>
  <c r="P579"/>
  <c r="P575"/>
  <c r="P550"/>
  <c r="P546"/>
  <c r="P542"/>
  <c r="P538"/>
  <c r="P525"/>
  <c r="P498"/>
  <c r="P492"/>
  <c r="P488"/>
  <c r="P453"/>
  <c r="P370"/>
  <c r="P366"/>
  <c r="P173"/>
  <c r="P95"/>
  <c r="P91"/>
  <c r="P64"/>
  <c r="P31"/>
  <c r="P1440"/>
  <c r="P1433"/>
  <c r="P1413"/>
  <c r="P1408"/>
  <c r="P1404"/>
  <c r="P1399"/>
  <c r="P1392"/>
  <c r="P1387"/>
  <c r="P1382"/>
  <c r="P1364"/>
  <c r="P1359"/>
  <c r="P1349"/>
  <c r="P1338"/>
  <c r="P1329"/>
  <c r="P1313"/>
  <c r="P1305"/>
  <c r="P1300"/>
  <c r="P1276"/>
  <c r="P1272"/>
  <c r="P1266"/>
  <c r="P1258"/>
  <c r="P1252"/>
  <c r="P1248"/>
  <c r="P1240"/>
  <c r="P1235"/>
  <c r="P1218"/>
  <c r="P1207"/>
  <c r="P1200"/>
  <c r="P1195"/>
  <c r="P1184"/>
  <c r="P1180"/>
  <c r="P1164"/>
  <c r="P1153"/>
  <c r="P1148"/>
  <c r="P1142"/>
  <c r="P960"/>
  <c r="P955"/>
  <c r="P949"/>
  <c r="P944"/>
  <c r="P940"/>
  <c r="P935"/>
  <c r="P926"/>
  <c r="P912"/>
  <c r="P908"/>
  <c r="P901"/>
  <c r="P896"/>
  <c r="P887"/>
  <c r="P869"/>
  <c r="P864"/>
  <c r="P860"/>
  <c r="P856"/>
  <c r="P851"/>
  <c r="P834"/>
  <c r="P830"/>
  <c r="P818"/>
  <c r="P805"/>
  <c r="P790"/>
  <c r="P770"/>
  <c r="P521"/>
  <c r="P517"/>
  <c r="P500"/>
  <c r="P470"/>
  <c r="P442"/>
  <c r="P428"/>
  <c r="P423"/>
  <c r="P418"/>
  <c r="P413"/>
  <c r="P406"/>
  <c r="P402"/>
  <c r="P397"/>
  <c r="P393"/>
  <c r="P388"/>
  <c r="P367"/>
  <c r="P361"/>
  <c r="P1110"/>
  <c r="P1068"/>
  <c r="P1061"/>
  <c r="P977"/>
  <c r="P968"/>
  <c r="P898"/>
  <c r="P894"/>
  <c r="P890"/>
  <c r="P828"/>
  <c r="P787"/>
  <c r="P783"/>
  <c r="P777"/>
  <c r="P773"/>
  <c r="P696"/>
  <c r="P660"/>
  <c r="P652"/>
  <c r="P632"/>
  <c r="P628"/>
  <c r="P624"/>
  <c r="P596"/>
  <c r="P586"/>
  <c r="P582"/>
  <c r="P578"/>
  <c r="P574"/>
  <c r="P549"/>
  <c r="P545"/>
  <c r="P537"/>
  <c r="P531"/>
  <c r="P524"/>
  <c r="P497"/>
  <c r="P491"/>
  <c r="P482"/>
  <c r="P369"/>
  <c r="P363"/>
  <c r="P59"/>
  <c r="P30"/>
  <c r="P1694"/>
  <c r="P1024"/>
  <c r="P1020"/>
  <c r="P1016"/>
  <c r="P1005"/>
  <c r="P999"/>
  <c r="P983"/>
  <c r="P975"/>
  <c r="P229"/>
  <c r="P1123"/>
  <c r="P1113"/>
  <c r="P1109"/>
  <c r="P1097"/>
  <c r="P1073"/>
  <c r="P971"/>
  <c r="P967"/>
  <c r="P893"/>
  <c r="P827"/>
  <c r="P810"/>
  <c r="P776"/>
  <c r="P772"/>
  <c r="P767"/>
  <c r="P659"/>
  <c r="P635"/>
  <c r="P631"/>
  <c r="P627"/>
  <c r="P614"/>
  <c r="P608"/>
  <c r="P594"/>
  <c r="P585"/>
  <c r="P581"/>
  <c r="P577"/>
  <c r="P562"/>
  <c r="P552"/>
  <c r="P548"/>
  <c r="P544"/>
  <c r="P540"/>
  <c r="P530"/>
  <c r="P523"/>
  <c r="P496"/>
  <c r="P490"/>
  <c r="P481"/>
  <c r="P472"/>
  <c r="P368"/>
  <c r="P362"/>
  <c r="P236"/>
  <c r="P175"/>
  <c r="P78"/>
  <c r="P62"/>
  <c r="P58"/>
  <c r="P96"/>
  <c r="P92"/>
  <c r="P81"/>
  <c r="P57"/>
  <c r="P36"/>
  <c r="P32"/>
  <c r="H1914" i="86"/>
  <c r="H547"/>
  <c r="H750"/>
  <c r="H1132"/>
  <c r="H141"/>
  <c r="H1533"/>
  <c r="H176"/>
  <c r="H553"/>
  <c r="H928"/>
  <c r="H1207"/>
  <c r="H1659"/>
  <c r="H425"/>
  <c r="H719"/>
  <c r="H996"/>
  <c r="H1300"/>
  <c r="H1682"/>
  <c r="H33"/>
  <c r="H436"/>
  <c r="H730"/>
  <c r="H1069"/>
  <c r="H1456"/>
  <c r="H1802"/>
  <c r="H138"/>
  <c r="H140"/>
  <c r="H246"/>
  <c r="H426"/>
  <c r="H437"/>
  <c r="H548"/>
  <c r="H577"/>
  <c r="H720"/>
  <c r="H747"/>
  <c r="H897"/>
  <c r="H982"/>
  <c r="H997"/>
  <c r="H1068"/>
  <c r="H1171"/>
  <c r="H1206"/>
  <c r="H1308"/>
  <c r="H1457"/>
  <c r="H1537"/>
  <c r="H1667"/>
  <c r="H1778"/>
  <c r="H1891"/>
  <c r="H1915"/>
  <c r="H143"/>
  <c r="H139"/>
  <c r="H297"/>
  <c r="H427"/>
  <c r="H538"/>
  <c r="H549"/>
  <c r="H625"/>
  <c r="H728"/>
  <c r="H748"/>
  <c r="H905"/>
  <c r="H990"/>
  <c r="H1066"/>
  <c r="H1067"/>
  <c r="H1196"/>
  <c r="H1205"/>
  <c r="H1309"/>
  <c r="H1472"/>
  <c r="H1604"/>
  <c r="H1668"/>
  <c r="H1801"/>
  <c r="H1899"/>
  <c r="H1966"/>
  <c r="H25"/>
  <c r="H142"/>
  <c r="H175"/>
  <c r="H410"/>
  <c r="H428"/>
  <c r="H546"/>
  <c r="H552"/>
  <c r="H653"/>
  <c r="H729"/>
  <c r="H749"/>
  <c r="H927"/>
  <c r="H991"/>
  <c r="H1070"/>
  <c r="H1084"/>
  <c r="H1204"/>
  <c r="H1239"/>
  <c r="H1392"/>
  <c r="H1516"/>
  <c r="H1615"/>
  <c r="H1669"/>
  <c r="H1803"/>
  <c r="B1065"/>
  <c r="C1065"/>
  <c r="B1064"/>
  <c r="C1064"/>
  <c r="H1064"/>
  <c r="H1065"/>
  <c r="E1064"/>
  <c r="E1065"/>
  <c r="D1064"/>
  <c r="D1065"/>
  <c r="P48" i="79" l="1"/>
  <c r="C54" i="90" s="1"/>
  <c r="P122" i="79"/>
  <c r="P166"/>
  <c r="P462"/>
  <c r="C62" i="90" s="1"/>
  <c r="P431" i="79"/>
  <c r="P879"/>
  <c r="P747"/>
  <c r="P379"/>
  <c r="P1732"/>
  <c r="C84" i="90" s="1"/>
  <c r="P178" i="79"/>
  <c r="C58" i="90" s="1"/>
  <c r="P101" i="79"/>
  <c r="C55" i="90" s="1"/>
  <c r="P840" i="79"/>
  <c r="C68" i="90" s="1"/>
  <c r="P1083" i="79"/>
  <c r="C73" i="90" s="1"/>
  <c r="P1669" i="79"/>
  <c r="C83" i="90" s="1"/>
  <c r="P919" i="79"/>
  <c r="C70" i="90" s="1"/>
  <c r="P713" i="79"/>
  <c r="C65" i="90" s="1"/>
  <c r="P1622" i="79"/>
  <c r="C82" i="90" s="1"/>
  <c r="P1573" i="79"/>
  <c r="C81" i="90" s="1"/>
  <c r="P1534" i="79"/>
  <c r="C80" i="90" s="1"/>
  <c r="P1371" i="79"/>
  <c r="C78" i="90" s="1"/>
  <c r="P1289" i="79"/>
  <c r="C77" i="90" s="1"/>
  <c r="P1171" i="79"/>
  <c r="C75" i="90" s="1"/>
  <c r="P1225" i="79"/>
  <c r="C76" i="90" s="1"/>
  <c r="H1984" i="86"/>
  <c r="J1984" s="1"/>
  <c r="D1984"/>
  <c r="E1984"/>
  <c r="B1984"/>
  <c r="C1984"/>
  <c r="H1938"/>
  <c r="D1938"/>
  <c r="E1938"/>
  <c r="B1938"/>
  <c r="C1938"/>
  <c r="H1699"/>
  <c r="J1699" s="1"/>
  <c r="D1699"/>
  <c r="E1699"/>
  <c r="B1699"/>
  <c r="C1699"/>
  <c r="H1603"/>
  <c r="J1603" s="1"/>
  <c r="D1603"/>
  <c r="E1603"/>
  <c r="B1603"/>
  <c r="C1603"/>
  <c r="H1522"/>
  <c r="J1522" s="1"/>
  <c r="D1522"/>
  <c r="E1522"/>
  <c r="B1522"/>
  <c r="C1522"/>
  <c r="H1503"/>
  <c r="D1503"/>
  <c r="E1503"/>
  <c r="B1503"/>
  <c r="C1503"/>
  <c r="H1471"/>
  <c r="J1471" s="1"/>
  <c r="B1471"/>
  <c r="C1471"/>
  <c r="D1471"/>
  <c r="E1471"/>
  <c r="H1470"/>
  <c r="J1470" s="1"/>
  <c r="B1470"/>
  <c r="E1470"/>
  <c r="D1470"/>
  <c r="C1470"/>
  <c r="H1422"/>
  <c r="J1422" s="1"/>
  <c r="D1422"/>
  <c r="E1422"/>
  <c r="B1422"/>
  <c r="C1422"/>
  <c r="H1404"/>
  <c r="D1404"/>
  <c r="E1404"/>
  <c r="B1404"/>
  <c r="C1404"/>
  <c r="H1376"/>
  <c r="J1376" s="1"/>
  <c r="D1376"/>
  <c r="E1376"/>
  <c r="B1376"/>
  <c r="C1376"/>
  <c r="H1279"/>
  <c r="J1279" s="1"/>
  <c r="D1279"/>
  <c r="E1279"/>
  <c r="B1279"/>
  <c r="C1279"/>
  <c r="H1244"/>
  <c r="J1244" s="1"/>
  <c r="D1244"/>
  <c r="E1244"/>
  <c r="B1244"/>
  <c r="C1244"/>
  <c r="H1241"/>
  <c r="J1241" s="1"/>
  <c r="D1241"/>
  <c r="E1241"/>
  <c r="B1241"/>
  <c r="C1241"/>
  <c r="H1184"/>
  <c r="J1184" s="1"/>
  <c r="D1184"/>
  <c r="E1184"/>
  <c r="B1184"/>
  <c r="C1184"/>
  <c r="H1098"/>
  <c r="J1098" s="1"/>
  <c r="D1098"/>
  <c r="E1098"/>
  <c r="B1098"/>
  <c r="C1098"/>
  <c r="H1063"/>
  <c r="J1063" s="1"/>
  <c r="B1063"/>
  <c r="C1063"/>
  <c r="D1063"/>
  <c r="E1063"/>
  <c r="H1062"/>
  <c r="D1062"/>
  <c r="E1062"/>
  <c r="B1062"/>
  <c r="C1062"/>
  <c r="H771"/>
  <c r="J771" s="1"/>
  <c r="D771"/>
  <c r="E771"/>
  <c r="B771"/>
  <c r="C771"/>
  <c r="H772"/>
  <c r="J772" s="1"/>
  <c r="D772"/>
  <c r="E772"/>
  <c r="B772"/>
  <c r="C772"/>
  <c r="H660"/>
  <c r="J660" s="1"/>
  <c r="D660"/>
  <c r="E660"/>
  <c r="B660"/>
  <c r="C660"/>
  <c r="D633"/>
  <c r="H633"/>
  <c r="E633"/>
  <c r="B633"/>
  <c r="C633"/>
  <c r="H467"/>
  <c r="D467"/>
  <c r="E467"/>
  <c r="B467"/>
  <c r="C467"/>
  <c r="H379"/>
  <c r="D379"/>
  <c r="E379"/>
  <c r="B379"/>
  <c r="C379"/>
  <c r="H331"/>
  <c r="H332"/>
  <c r="B331"/>
  <c r="D331"/>
  <c r="E331"/>
  <c r="B332"/>
  <c r="D332"/>
  <c r="E332"/>
  <c r="C332"/>
  <c r="H330"/>
  <c r="D330"/>
  <c r="E330"/>
  <c r="B330"/>
  <c r="C330"/>
  <c r="H177"/>
  <c r="E177"/>
  <c r="D177"/>
  <c r="C177"/>
  <c r="B177"/>
  <c r="H17"/>
  <c r="D17"/>
  <c r="E17"/>
  <c r="B17"/>
  <c r="C17"/>
  <c r="H15"/>
  <c r="D15"/>
  <c r="E15"/>
  <c r="B15"/>
  <c r="C15"/>
  <c r="F13"/>
  <c r="H13"/>
  <c r="E13"/>
  <c r="B13"/>
  <c r="D13"/>
  <c r="C13"/>
  <c r="H1978"/>
  <c r="J1966"/>
  <c r="J1938"/>
  <c r="J1915"/>
  <c r="J1914"/>
  <c r="J1900"/>
  <c r="J1899"/>
  <c r="J1891"/>
  <c r="J1802"/>
  <c r="J1803"/>
  <c r="J1801"/>
  <c r="J1786"/>
  <c r="J1778"/>
  <c r="J1682"/>
  <c r="J1669"/>
  <c r="J1668"/>
  <c r="J1667"/>
  <c r="J1659"/>
  <c r="J1615"/>
  <c r="J1604"/>
  <c r="J1537"/>
  <c r="J1533"/>
  <c r="J1516"/>
  <c r="J1503"/>
  <c r="J1472"/>
  <c r="J1457"/>
  <c r="J1456"/>
  <c r="J1404"/>
  <c r="J1392"/>
  <c r="J1309"/>
  <c r="J1308"/>
  <c r="J1300"/>
  <c r="J1239"/>
  <c r="J1205"/>
  <c r="J1206"/>
  <c r="J1207"/>
  <c r="J1204"/>
  <c r="J1196"/>
  <c r="J1171"/>
  <c r="J1132"/>
  <c r="J1084"/>
  <c r="J1064"/>
  <c r="J1065"/>
  <c r="J1066"/>
  <c r="J1067"/>
  <c r="J1068"/>
  <c r="J1069"/>
  <c r="J1070"/>
  <c r="J1062"/>
  <c r="J996"/>
  <c r="J997"/>
  <c r="J991"/>
  <c r="J990"/>
  <c r="J982"/>
  <c r="J928"/>
  <c r="J927"/>
  <c r="J905"/>
  <c r="J897"/>
  <c r="J747"/>
  <c r="J748"/>
  <c r="J749"/>
  <c r="J750"/>
  <c r="J730"/>
  <c r="J729"/>
  <c r="J728"/>
  <c r="J720"/>
  <c r="J719"/>
  <c r="H659"/>
  <c r="C60" i="90" l="1"/>
  <c r="C331" i="86"/>
  <c r="J659"/>
  <c r="J653"/>
  <c r="J633"/>
  <c r="J625"/>
  <c r="J577" l="1"/>
  <c r="J553"/>
  <c r="J552"/>
  <c r="J547"/>
  <c r="J548"/>
  <c r="J549"/>
  <c r="J546"/>
  <c r="J538"/>
  <c r="J467"/>
  <c r="J437"/>
  <c r="J436"/>
  <c r="J426"/>
  <c r="J427"/>
  <c r="J428"/>
  <c r="J425"/>
  <c r="J410"/>
  <c r="J379"/>
  <c r="J332"/>
  <c r="J331"/>
  <c r="J330"/>
  <c r="J297"/>
  <c r="J246"/>
  <c r="J177"/>
  <c r="J176"/>
  <c r="J175"/>
  <c r="J166"/>
  <c r="J143"/>
  <c r="J142"/>
  <c r="J141"/>
  <c r="J140"/>
  <c r="J139"/>
  <c r="J138"/>
  <c r="J33"/>
  <c r="J25"/>
  <c r="J17"/>
  <c r="J15"/>
  <c r="J13"/>
  <c r="H2019"/>
  <c r="J2019" s="1"/>
  <c r="D2019"/>
  <c r="E2019"/>
  <c r="B2019"/>
  <c r="C2019"/>
  <c r="H2014"/>
  <c r="J2014" s="1"/>
  <c r="D2014"/>
  <c r="E2014"/>
  <c r="B2014"/>
  <c r="C2014"/>
  <c r="H2012"/>
  <c r="J2012" s="1"/>
  <c r="D2012"/>
  <c r="E2012"/>
  <c r="B2012"/>
  <c r="C2012"/>
  <c r="D2011"/>
  <c r="H2011"/>
  <c r="J2011" s="1"/>
  <c r="E2011"/>
  <c r="B2011"/>
  <c r="C2011"/>
  <c r="H2009"/>
  <c r="J2009" s="1"/>
  <c r="D2009"/>
  <c r="E2009"/>
  <c r="B2009"/>
  <c r="C2009"/>
  <c r="H2003"/>
  <c r="J2003" s="1"/>
  <c r="H2004"/>
  <c r="J2004" s="1"/>
  <c r="B2004"/>
  <c r="C2004"/>
  <c r="D2004"/>
  <c r="E2004"/>
  <c r="D2003"/>
  <c r="E2003"/>
  <c r="B2003"/>
  <c r="C2003"/>
  <c r="H2002"/>
  <c r="J2002" s="1"/>
  <c r="D2002"/>
  <c r="E2002"/>
  <c r="B2002"/>
  <c r="C2002"/>
  <c r="H1996"/>
  <c r="J1996" s="1"/>
  <c r="D1996"/>
  <c r="E1996"/>
  <c r="B1996"/>
  <c r="C1996"/>
  <c r="H1994"/>
  <c r="J1994" s="1"/>
  <c r="B1994"/>
  <c r="C1994"/>
  <c r="D1994"/>
  <c r="E1994"/>
  <c r="H1993"/>
  <c r="J1993" s="1"/>
  <c r="D1993"/>
  <c r="E1993"/>
  <c r="B1993"/>
  <c r="C1993"/>
  <c r="H1990"/>
  <c r="J1990" s="1"/>
  <c r="D1990"/>
  <c r="E1990"/>
  <c r="B1990"/>
  <c r="C1990"/>
  <c r="H1991"/>
  <c r="J1991" s="1"/>
  <c r="D1991"/>
  <c r="E1991"/>
  <c r="B1991"/>
  <c r="C1991"/>
  <c r="H1988" l="1"/>
  <c r="J1988" s="1"/>
  <c r="D1988"/>
  <c r="E1988"/>
  <c r="B1988"/>
  <c r="C1988"/>
  <c r="H1987"/>
  <c r="J1987" s="1"/>
  <c r="D1987"/>
  <c r="E1987"/>
  <c r="B1987"/>
  <c r="C1987"/>
  <c r="B1978"/>
  <c r="C1978"/>
  <c r="D1978"/>
  <c r="E1978"/>
  <c r="H1977"/>
  <c r="J1977" s="1"/>
  <c r="D1977"/>
  <c r="E1977"/>
  <c r="B1977"/>
  <c r="C1977"/>
  <c r="H1974"/>
  <c r="J1974" s="1"/>
  <c r="B1974"/>
  <c r="D1974"/>
  <c r="E1974"/>
  <c r="C1974"/>
  <c r="H1962"/>
  <c r="J1962" s="1"/>
  <c r="B1962"/>
  <c r="C1962"/>
  <c r="D1962"/>
  <c r="E1962"/>
  <c r="H1961"/>
  <c r="J1961" s="1"/>
  <c r="D1961"/>
  <c r="E1961"/>
  <c r="B1961"/>
  <c r="C1961"/>
  <c r="H1955"/>
  <c r="J1955" s="1"/>
  <c r="D1955"/>
  <c r="E1955"/>
  <c r="B1955"/>
  <c r="C1955"/>
  <c r="H1950"/>
  <c r="J1950" s="1"/>
  <c r="D1950"/>
  <c r="E1950"/>
  <c r="B1950"/>
  <c r="C1950"/>
  <c r="H1948"/>
  <c r="J1948" s="1"/>
  <c r="B1948"/>
  <c r="C1948"/>
  <c r="D1948"/>
  <c r="E1948"/>
  <c r="H1947"/>
  <c r="J1947" s="1"/>
  <c r="D1947"/>
  <c r="E1947"/>
  <c r="B1947"/>
  <c r="C1947"/>
  <c r="H1945"/>
  <c r="J1945" s="1"/>
  <c r="B1945"/>
  <c r="C1945"/>
  <c r="D1945"/>
  <c r="E1945"/>
  <c r="H1944"/>
  <c r="J1944" s="1"/>
  <c r="D1944"/>
  <c r="E1944"/>
  <c r="B1944"/>
  <c r="C1944"/>
  <c r="H1942"/>
  <c r="J1942" s="1"/>
  <c r="D1942"/>
  <c r="E1942"/>
  <c r="B1942"/>
  <c r="C1942"/>
  <c r="H1941"/>
  <c r="J1941" s="1"/>
  <c r="D1941"/>
  <c r="E1941"/>
  <c r="B1941"/>
  <c r="C1941"/>
  <c r="H1932"/>
  <c r="J1932" s="1"/>
  <c r="B1932"/>
  <c r="C1932"/>
  <c r="D1932"/>
  <c r="E1932"/>
  <c r="H1931"/>
  <c r="J1931" s="1"/>
  <c r="D1931"/>
  <c r="E1931"/>
  <c r="B1931"/>
  <c r="C1931"/>
  <c r="H1928"/>
  <c r="J1928" s="1"/>
  <c r="C1928"/>
  <c r="D1928"/>
  <c r="E1928"/>
  <c r="B1928"/>
  <c r="H1920"/>
  <c r="J1920" s="1"/>
  <c r="D1920"/>
  <c r="E1920"/>
  <c r="B1920"/>
  <c r="C1920"/>
  <c r="H1919"/>
  <c r="J1919" s="1"/>
  <c r="D1919"/>
  <c r="E1919"/>
  <c r="B1919"/>
  <c r="C1919"/>
  <c r="H1918"/>
  <c r="J1918" s="1"/>
  <c r="D1918"/>
  <c r="E1918"/>
  <c r="B1918"/>
  <c r="C1918"/>
  <c r="H1917"/>
  <c r="J1917" s="1"/>
  <c r="D1917"/>
  <c r="E1917"/>
  <c r="B1917"/>
  <c r="C1917"/>
  <c r="H1913"/>
  <c r="J1913" s="1"/>
  <c r="D1913"/>
  <c r="E1913"/>
  <c r="B1913"/>
  <c r="C1913"/>
  <c r="H1912"/>
  <c r="J1912" s="1"/>
  <c r="D1912"/>
  <c r="E1912"/>
  <c r="B1912"/>
  <c r="C1912"/>
  <c r="H1909"/>
  <c r="J1909" s="1"/>
  <c r="H1910"/>
  <c r="J1910" s="1"/>
  <c r="B1909"/>
  <c r="C1909"/>
  <c r="D1909"/>
  <c r="E1909"/>
  <c r="B1910"/>
  <c r="C1910"/>
  <c r="D1910"/>
  <c r="E1910"/>
  <c r="H1908"/>
  <c r="J1908" s="1"/>
  <c r="D1908"/>
  <c r="E1908"/>
  <c r="B1908"/>
  <c r="C1908"/>
  <c r="H1905"/>
  <c r="J1905" s="1"/>
  <c r="H1906"/>
  <c r="J1906" s="1"/>
  <c r="H1907"/>
  <c r="J1907" s="1"/>
  <c r="H1904"/>
  <c r="J1904" s="1"/>
  <c r="B1905"/>
  <c r="C1905"/>
  <c r="D1905"/>
  <c r="E1905"/>
  <c r="B1906"/>
  <c r="C1906"/>
  <c r="D1906"/>
  <c r="E1906"/>
  <c r="B1907"/>
  <c r="C1907"/>
  <c r="D1907"/>
  <c r="E1907"/>
  <c r="D1904"/>
  <c r="E1904"/>
  <c r="B1904"/>
  <c r="C1904"/>
  <c r="H1902"/>
  <c r="D1902"/>
  <c r="D1903" s="1"/>
  <c r="E1902"/>
  <c r="E1903" s="1"/>
  <c r="B1902"/>
  <c r="B1903" s="1"/>
  <c r="C1902"/>
  <c r="C1903" s="1"/>
  <c r="H1890"/>
  <c r="J1890" s="1"/>
  <c r="D1890"/>
  <c r="E1890"/>
  <c r="B1890"/>
  <c r="C1890"/>
  <c r="H1884"/>
  <c r="J1884" s="1"/>
  <c r="B1884"/>
  <c r="D1884"/>
  <c r="E1884"/>
  <c r="C1884"/>
  <c r="H1878"/>
  <c r="J1878" s="1"/>
  <c r="B1878"/>
  <c r="D1878"/>
  <c r="E1878"/>
  <c r="C1878"/>
  <c r="H1875"/>
  <c r="J1875" s="1"/>
  <c r="E1875"/>
  <c r="B1875"/>
  <c r="D1875"/>
  <c r="C1875"/>
  <c r="H1873"/>
  <c r="J1873" s="1"/>
  <c r="D1873"/>
  <c r="E1873"/>
  <c r="B1873"/>
  <c r="C1873"/>
  <c r="H1871"/>
  <c r="J1871" s="1"/>
  <c r="D1871"/>
  <c r="E1871"/>
  <c r="B1871"/>
  <c r="C1871"/>
  <c r="H1865"/>
  <c r="J1865" s="1"/>
  <c r="E1865"/>
  <c r="D1865"/>
  <c r="B1865"/>
  <c r="C1865"/>
  <c r="H1862"/>
  <c r="J1862" s="1"/>
  <c r="D1862"/>
  <c r="B1862"/>
  <c r="E1862"/>
  <c r="C1862"/>
  <c r="H1856"/>
  <c r="J1856" s="1"/>
  <c r="D1856"/>
  <c r="E1856"/>
  <c r="B1856"/>
  <c r="C1856"/>
  <c r="H1850"/>
  <c r="J1850" s="1"/>
  <c r="E1850"/>
  <c r="B1850"/>
  <c r="D1850"/>
  <c r="C1850"/>
  <c r="H1847"/>
  <c r="J1847" s="1"/>
  <c r="D1847"/>
  <c r="E1847"/>
  <c r="B1847"/>
  <c r="C1847"/>
  <c r="H1844"/>
  <c r="J1844" s="1"/>
  <c r="D1844"/>
  <c r="E1844"/>
  <c r="B1844"/>
  <c r="C1844"/>
  <c r="H1842"/>
  <c r="J1842" s="1"/>
  <c r="D1842"/>
  <c r="E1842"/>
  <c r="B1842"/>
  <c r="C1842"/>
  <c r="H1840"/>
  <c r="J1840" s="1"/>
  <c r="B1840"/>
  <c r="D1840"/>
  <c r="E1840"/>
  <c r="C1840"/>
  <c r="H1837"/>
  <c r="J1837" s="1"/>
  <c r="B1837"/>
  <c r="D1837"/>
  <c r="E1837"/>
  <c r="C1837"/>
  <c r="H1836"/>
  <c r="J1836" s="1"/>
  <c r="D1836"/>
  <c r="E1836"/>
  <c r="B1836"/>
  <c r="C1836"/>
  <c r="H1835"/>
  <c r="J1835" s="1"/>
  <c r="B1835"/>
  <c r="D1835"/>
  <c r="E1835"/>
  <c r="C1835"/>
  <c r="H1833"/>
  <c r="J1833" s="1"/>
  <c r="C1833"/>
  <c r="D1833"/>
  <c r="E1833"/>
  <c r="B1833"/>
  <c r="H1827"/>
  <c r="J1827" s="1"/>
  <c r="B1827"/>
  <c r="C1827"/>
  <c r="D1827"/>
  <c r="E1827"/>
  <c r="H1826"/>
  <c r="J1826" s="1"/>
  <c r="D1826"/>
  <c r="E1826"/>
  <c r="B1826"/>
  <c r="C1826"/>
  <c r="H1824"/>
  <c r="J1824" s="1"/>
  <c r="D1824"/>
  <c r="E1824"/>
  <c r="B1824"/>
  <c r="C1824"/>
  <c r="H1821"/>
  <c r="J1821" s="1"/>
  <c r="D1821"/>
  <c r="E1821"/>
  <c r="B1821"/>
  <c r="C1821"/>
  <c r="H1811"/>
  <c r="J1811" s="1"/>
  <c r="D1811"/>
  <c r="E1811"/>
  <c r="B1811"/>
  <c r="C1811"/>
  <c r="H1810"/>
  <c r="J1810" s="1"/>
  <c r="D1810"/>
  <c r="E1810"/>
  <c r="B1810"/>
  <c r="C1810"/>
  <c r="H1809"/>
  <c r="J1809" s="1"/>
  <c r="D1809"/>
  <c r="E1809"/>
  <c r="B1809"/>
  <c r="C1809"/>
  <c r="H1808"/>
  <c r="J1808" s="1"/>
  <c r="D1808"/>
  <c r="E1808"/>
  <c r="B1808"/>
  <c r="C1808"/>
  <c r="H1806"/>
  <c r="J1806" s="1"/>
  <c r="C1806"/>
  <c r="D1806"/>
  <c r="E1806"/>
  <c r="B1806"/>
  <c r="H1805"/>
  <c r="J1805" s="1"/>
  <c r="C1805"/>
  <c r="D1805"/>
  <c r="E1805"/>
  <c r="B1805"/>
  <c r="H1800"/>
  <c r="J1800" s="1"/>
  <c r="B1800"/>
  <c r="C1800"/>
  <c r="D1800"/>
  <c r="E1800"/>
  <c r="H1799"/>
  <c r="J1799" s="1"/>
  <c r="D1799"/>
  <c r="E1799"/>
  <c r="B1799"/>
  <c r="C1799"/>
  <c r="H1796"/>
  <c r="J1796" s="1"/>
  <c r="H1797"/>
  <c r="J1797" s="1"/>
  <c r="B1796"/>
  <c r="C1796"/>
  <c r="D1796"/>
  <c r="E1796"/>
  <c r="B1797"/>
  <c r="C1797"/>
  <c r="D1797"/>
  <c r="E1797"/>
  <c r="H1795"/>
  <c r="J1795" s="1"/>
  <c r="D1795"/>
  <c r="C1795"/>
  <c r="E1795"/>
  <c r="B1795"/>
  <c r="H1793"/>
  <c r="J1793" s="1"/>
  <c r="H1794"/>
  <c r="J1794" s="1"/>
  <c r="B1793"/>
  <c r="C1793"/>
  <c r="D1793"/>
  <c r="E1793"/>
  <c r="B1794"/>
  <c r="C1794"/>
  <c r="D1794"/>
  <c r="E1794"/>
  <c r="H1792"/>
  <c r="J1792" s="1"/>
  <c r="D1792"/>
  <c r="C1792"/>
  <c r="E1792"/>
  <c r="B1792"/>
  <c r="H1789"/>
  <c r="J1789" s="1"/>
  <c r="H1790"/>
  <c r="J1790" s="1"/>
  <c r="H1791"/>
  <c r="J1791" s="1"/>
  <c r="B1789"/>
  <c r="C1789"/>
  <c r="D1789"/>
  <c r="E1789"/>
  <c r="B1790"/>
  <c r="C1790"/>
  <c r="D1790"/>
  <c r="E1790"/>
  <c r="B1791"/>
  <c r="C1791"/>
  <c r="D1791"/>
  <c r="E1791"/>
  <c r="H1788"/>
  <c r="J1788" s="1"/>
  <c r="D1788"/>
  <c r="C1788"/>
  <c r="E1788"/>
  <c r="B1788"/>
  <c r="H1774"/>
  <c r="J1774" s="1"/>
  <c r="E1774"/>
  <c r="B1774"/>
  <c r="D1774"/>
  <c r="C1774"/>
  <c r="H1773"/>
  <c r="J1773" s="1"/>
  <c r="D1773"/>
  <c r="E1773"/>
  <c r="B1773"/>
  <c r="C1773"/>
  <c r="H1771"/>
  <c r="J1771" s="1"/>
  <c r="E1771"/>
  <c r="B1771"/>
  <c r="D1771"/>
  <c r="C1771"/>
  <c r="H1770"/>
  <c r="J1770" s="1"/>
  <c r="D1770"/>
  <c r="E1770"/>
  <c r="B1770"/>
  <c r="C1770"/>
  <c r="H1765"/>
  <c r="J1765" s="1"/>
  <c r="D1765"/>
  <c r="E1765"/>
  <c r="B1765"/>
  <c r="C1765"/>
  <c r="H1759"/>
  <c r="J1759" s="1"/>
  <c r="D1759"/>
  <c r="E1759"/>
  <c r="B1759"/>
  <c r="C1759"/>
  <c r="H1754"/>
  <c r="J1754" s="1"/>
  <c r="D1754"/>
  <c r="E1754"/>
  <c r="B1754"/>
  <c r="C1754"/>
  <c r="H1752"/>
  <c r="J1752" s="1"/>
  <c r="D1752"/>
  <c r="E1752"/>
  <c r="B1752"/>
  <c r="C1752"/>
  <c r="H1747"/>
  <c r="J1747" s="1"/>
  <c r="D1747"/>
  <c r="E1747"/>
  <c r="B1747"/>
  <c r="C1747"/>
  <c r="H1745"/>
  <c r="J1745" s="1"/>
  <c r="D1745"/>
  <c r="E1745"/>
  <c r="B1745"/>
  <c r="C1745"/>
  <c r="H1743"/>
  <c r="J1743" s="1"/>
  <c r="D1743"/>
  <c r="E1743"/>
  <c r="B1743"/>
  <c r="C1743"/>
  <c r="H1737"/>
  <c r="J1737" s="1"/>
  <c r="D1737"/>
  <c r="E1737"/>
  <c r="B1737"/>
  <c r="C1737"/>
  <c r="H1732"/>
  <c r="J1732" s="1"/>
  <c r="D1732"/>
  <c r="E1732"/>
  <c r="B1732"/>
  <c r="C1732"/>
  <c r="H1726"/>
  <c r="J1726" s="1"/>
  <c r="D1726"/>
  <c r="E1726"/>
  <c r="B1726"/>
  <c r="C1726"/>
  <c r="H1723"/>
  <c r="J1723" s="1"/>
  <c r="D1723"/>
  <c r="E1723"/>
  <c r="B1723"/>
  <c r="C1723"/>
  <c r="H1721"/>
  <c r="J1721" s="1"/>
  <c r="D1721"/>
  <c r="E1721"/>
  <c r="B1721"/>
  <c r="C1721"/>
  <c r="H1719"/>
  <c r="J1719" s="1"/>
  <c r="D1719"/>
  <c r="E1719"/>
  <c r="B1719"/>
  <c r="C1719"/>
  <c r="H1717"/>
  <c r="J1717" s="1"/>
  <c r="D1717"/>
  <c r="E1717"/>
  <c r="B1717"/>
  <c r="C1717"/>
  <c r="H1714"/>
  <c r="J1714" s="1"/>
  <c r="D1714"/>
  <c r="E1714"/>
  <c r="B1714"/>
  <c r="C1714"/>
  <c r="H1713"/>
  <c r="J1713" s="1"/>
  <c r="D1713"/>
  <c r="E1713"/>
  <c r="B1713"/>
  <c r="C1713"/>
  <c r="H1711"/>
  <c r="J1711" s="1"/>
  <c r="D1711"/>
  <c r="E1711"/>
  <c r="B1711"/>
  <c r="C1711"/>
  <c r="H1705"/>
  <c r="J1705" s="1"/>
  <c r="B1705"/>
  <c r="C1705"/>
  <c r="D1705"/>
  <c r="E1705"/>
  <c r="H1704"/>
  <c r="J1704" s="1"/>
  <c r="E1704"/>
  <c r="B1704"/>
  <c r="D1704"/>
  <c r="C1704"/>
  <c r="H1702"/>
  <c r="J1702" s="1"/>
  <c r="D1702"/>
  <c r="E1702"/>
  <c r="B1702"/>
  <c r="C1702"/>
  <c r="H1689"/>
  <c r="J1689" s="1"/>
  <c r="D1689"/>
  <c r="E1689"/>
  <c r="B1689"/>
  <c r="C1689"/>
  <c r="H1688"/>
  <c r="J1688" s="1"/>
  <c r="D1688"/>
  <c r="E1688"/>
  <c r="B1688"/>
  <c r="C1688"/>
  <c r="H1687"/>
  <c r="J1687" s="1"/>
  <c r="E1687"/>
  <c r="D1687"/>
  <c r="B1687"/>
  <c r="C1687"/>
  <c r="H1686"/>
  <c r="J1686" s="1"/>
  <c r="D1686"/>
  <c r="E1686"/>
  <c r="B1686"/>
  <c r="C1686"/>
  <c r="H1684"/>
  <c r="J1684" s="1"/>
  <c r="C1684"/>
  <c r="D1684"/>
  <c r="E1684"/>
  <c r="B1684"/>
  <c r="H1679"/>
  <c r="J1679" s="1"/>
  <c r="H1680"/>
  <c r="J1680" s="1"/>
  <c r="H1681"/>
  <c r="J1681" s="1"/>
  <c r="B1679"/>
  <c r="C1679"/>
  <c r="D1679"/>
  <c r="E1679"/>
  <c r="B1680"/>
  <c r="C1680"/>
  <c r="D1680"/>
  <c r="E1680"/>
  <c r="B1681"/>
  <c r="C1681"/>
  <c r="D1681"/>
  <c r="E1681"/>
  <c r="H1678"/>
  <c r="J1678" s="1"/>
  <c r="D1678"/>
  <c r="E1678"/>
  <c r="B1678"/>
  <c r="C1678"/>
  <c r="H1673"/>
  <c r="H1674"/>
  <c r="J1674" s="1"/>
  <c r="B1673"/>
  <c r="B1676" s="1"/>
  <c r="C1673"/>
  <c r="C1676" s="1"/>
  <c r="D1673"/>
  <c r="D1676" s="1"/>
  <c r="E1673"/>
  <c r="E1676" s="1"/>
  <c r="B1674"/>
  <c r="C1674"/>
  <c r="D1674"/>
  <c r="E1674"/>
  <c r="H1672"/>
  <c r="D1672"/>
  <c r="D1675" s="1"/>
  <c r="C1672"/>
  <c r="C1675" s="1"/>
  <c r="E1672"/>
  <c r="E1675" s="1"/>
  <c r="B1672"/>
  <c r="B1675" s="1"/>
  <c r="H1671"/>
  <c r="J1671" s="1"/>
  <c r="C1671"/>
  <c r="D1671"/>
  <c r="E1671"/>
  <c r="B1671"/>
  <c r="H1655"/>
  <c r="J1655" s="1"/>
  <c r="D1655"/>
  <c r="E1655"/>
  <c r="B1655"/>
  <c r="C1655"/>
  <c r="H1653"/>
  <c r="J1653" s="1"/>
  <c r="D1653"/>
  <c r="E1653"/>
  <c r="B1653"/>
  <c r="C1653"/>
  <c r="H1647"/>
  <c r="J1647" s="1"/>
  <c r="E1647"/>
  <c r="D1647"/>
  <c r="B1647"/>
  <c r="C1647"/>
  <c r="H1644"/>
  <c r="J1644" s="1"/>
  <c r="C1644"/>
  <c r="D1644"/>
  <c r="E1644"/>
  <c r="B1644"/>
  <c r="H1641"/>
  <c r="J1641" s="1"/>
  <c r="C1641"/>
  <c r="D1641"/>
  <c r="E1641"/>
  <c r="B1641"/>
  <c r="H1639"/>
  <c r="J1639" s="1"/>
  <c r="C1639"/>
  <c r="D1639"/>
  <c r="E1639"/>
  <c r="B1639"/>
  <c r="H1634"/>
  <c r="J1634" s="1"/>
  <c r="D1634"/>
  <c r="E1634"/>
  <c r="B1634"/>
  <c r="C1634"/>
  <c r="H1632"/>
  <c r="J1632" s="1"/>
  <c r="D1632"/>
  <c r="E1632"/>
  <c r="B1632"/>
  <c r="C1632"/>
  <c r="H1627"/>
  <c r="J1627" s="1"/>
  <c r="D1627"/>
  <c r="E1627"/>
  <c r="B1627"/>
  <c r="C1627"/>
  <c r="H1622"/>
  <c r="J1622" s="1"/>
  <c r="E1622"/>
  <c r="D1622"/>
  <c r="B1622"/>
  <c r="C1622"/>
  <c r="H1620"/>
  <c r="J1620" s="1"/>
  <c r="D1620"/>
  <c r="E1620"/>
  <c r="B1620"/>
  <c r="C1620"/>
  <c r="H1613"/>
  <c r="J1613" s="1"/>
  <c r="D1613"/>
  <c r="E1613"/>
  <c r="B1613"/>
  <c r="C1613"/>
  <c r="H1611"/>
  <c r="J1611" s="1"/>
  <c r="D1611"/>
  <c r="E1611"/>
  <c r="B1611"/>
  <c r="C1611"/>
  <c r="H1610"/>
  <c r="J1610" s="1"/>
  <c r="D1610"/>
  <c r="E1610"/>
  <c r="B1610"/>
  <c r="C1610"/>
  <c r="H1602"/>
  <c r="J1602" s="1"/>
  <c r="D1602"/>
  <c r="E1602"/>
  <c r="B1602"/>
  <c r="C1602"/>
  <c r="H1600"/>
  <c r="J1600" s="1"/>
  <c r="D1600"/>
  <c r="E1600"/>
  <c r="B1600"/>
  <c r="C1600"/>
  <c r="H1598"/>
  <c r="J1598" s="1"/>
  <c r="D1598"/>
  <c r="E1598"/>
  <c r="B1598"/>
  <c r="C1598"/>
  <c r="H1596"/>
  <c r="J1596" s="1"/>
  <c r="B1596"/>
  <c r="D1596"/>
  <c r="E1596"/>
  <c r="C1596"/>
  <c r="H1595"/>
  <c r="J1595" s="1"/>
  <c r="D1595"/>
  <c r="E1595"/>
  <c r="B1595"/>
  <c r="C1595"/>
  <c r="H1592"/>
  <c r="J1592" s="1"/>
  <c r="D1592"/>
  <c r="E1592"/>
  <c r="B1592"/>
  <c r="C1592"/>
  <c r="B1591"/>
  <c r="H1591"/>
  <c r="J1591" s="1"/>
  <c r="D1591"/>
  <c r="E1591"/>
  <c r="C1591"/>
  <c r="H1590"/>
  <c r="J1590" s="1"/>
  <c r="B1590"/>
  <c r="D1590"/>
  <c r="E1590"/>
  <c r="C1590"/>
  <c r="H1588"/>
  <c r="J1588" s="1"/>
  <c r="E1588"/>
  <c r="B1588"/>
  <c r="D1588"/>
  <c r="C1588"/>
  <c r="H1585"/>
  <c r="J1585" s="1"/>
  <c r="D1585"/>
  <c r="E1585"/>
  <c r="C1585"/>
  <c r="B1585"/>
  <c r="H1579"/>
  <c r="J1579" s="1"/>
  <c r="D1579"/>
  <c r="E1579"/>
  <c r="B1579"/>
  <c r="C1579"/>
  <c r="H1577"/>
  <c r="J1577" s="1"/>
  <c r="B1577"/>
  <c r="C1577"/>
  <c r="D1577"/>
  <c r="E1577"/>
  <c r="H1576"/>
  <c r="J1576" s="1"/>
  <c r="B1576"/>
  <c r="D1576"/>
  <c r="E1576"/>
  <c r="C1576"/>
  <c r="H1574"/>
  <c r="J1574" s="1"/>
  <c r="B1574"/>
  <c r="C1574"/>
  <c r="D1574"/>
  <c r="E1574"/>
  <c r="H1572"/>
  <c r="J1572" s="1"/>
  <c r="H1573"/>
  <c r="J1573" s="1"/>
  <c r="B1572"/>
  <c r="C1572"/>
  <c r="D1572"/>
  <c r="E1572"/>
  <c r="B1573"/>
  <c r="C1573"/>
  <c r="D1573"/>
  <c r="E1573"/>
  <c r="H1571"/>
  <c r="J1571" s="1"/>
  <c r="D1571"/>
  <c r="E1571"/>
  <c r="B1571"/>
  <c r="C1571"/>
  <c r="H1675" l="1"/>
  <c r="J1675" s="1"/>
  <c r="J1672"/>
  <c r="H1903"/>
  <c r="J1903" s="1"/>
  <c r="J1902"/>
  <c r="H1676"/>
  <c r="J1676" s="1"/>
  <c r="J1673"/>
  <c r="H1561"/>
  <c r="J1561" s="1"/>
  <c r="D1561"/>
  <c r="E1561"/>
  <c r="B1561"/>
  <c r="C1561"/>
  <c r="H1551"/>
  <c r="J1551" s="1"/>
  <c r="B1551"/>
  <c r="D1551"/>
  <c r="E1551"/>
  <c r="C1551"/>
  <c r="H1555"/>
  <c r="J1555" s="1"/>
  <c r="B1555"/>
  <c r="D1555"/>
  <c r="E1555"/>
  <c r="C1555"/>
  <c r="H1553"/>
  <c r="J1553" s="1"/>
  <c r="D1553"/>
  <c r="E1553"/>
  <c r="B1553"/>
  <c r="C1553"/>
  <c r="H1548"/>
  <c r="J1548" s="1"/>
  <c r="E1548"/>
  <c r="B1548"/>
  <c r="D1548"/>
  <c r="C1548"/>
  <c r="H1546"/>
  <c r="J1546" s="1"/>
  <c r="D1546"/>
  <c r="E1546"/>
  <c r="B1546"/>
  <c r="C1546"/>
  <c r="H1531"/>
  <c r="J1531" s="1"/>
  <c r="B1531"/>
  <c r="E1531"/>
  <c r="D1531"/>
  <c r="C1531"/>
  <c r="H1528"/>
  <c r="J1528" s="1"/>
  <c r="D1528"/>
  <c r="E1528"/>
  <c r="B1528"/>
  <c r="C1528"/>
  <c r="H1521"/>
  <c r="J1521" s="1"/>
  <c r="D1521"/>
  <c r="E1521"/>
  <c r="B1521"/>
  <c r="C1521"/>
  <c r="H1511"/>
  <c r="J1511" s="1"/>
  <c r="B1511"/>
  <c r="C1511"/>
  <c r="D1511"/>
  <c r="E1511"/>
  <c r="H1510"/>
  <c r="J1510" s="1"/>
  <c r="D1510"/>
  <c r="E1510"/>
  <c r="B1510"/>
  <c r="C1510"/>
  <c r="H1508"/>
  <c r="J1508" s="1"/>
  <c r="D1508"/>
  <c r="E1508"/>
  <c r="B1508"/>
  <c r="C1508"/>
  <c r="H1506"/>
  <c r="J1506" s="1"/>
  <c r="D1506"/>
  <c r="E1506"/>
  <c r="B1506"/>
  <c r="C1506"/>
  <c r="H1504"/>
  <c r="J1504" s="1"/>
  <c r="D1504"/>
  <c r="E1504"/>
  <c r="B1504"/>
  <c r="C1504"/>
  <c r="H1501"/>
  <c r="J1501" s="1"/>
  <c r="D1501"/>
  <c r="E1501"/>
  <c r="B1501"/>
  <c r="C1501"/>
  <c r="H1500"/>
  <c r="J1500" s="1"/>
  <c r="D1500"/>
  <c r="E1500"/>
  <c r="B1500"/>
  <c r="C1500"/>
  <c r="H1496"/>
  <c r="J1496" s="1"/>
  <c r="H1497"/>
  <c r="J1497" s="1"/>
  <c r="B1496"/>
  <c r="C1496"/>
  <c r="D1496"/>
  <c r="E1496"/>
  <c r="B1497"/>
  <c r="C1497"/>
  <c r="D1497"/>
  <c r="E1497"/>
  <c r="H1495"/>
  <c r="J1495" s="1"/>
  <c r="D1495"/>
  <c r="E1495"/>
  <c r="B1495"/>
  <c r="C1495"/>
  <c r="H1489"/>
  <c r="J1489" s="1"/>
  <c r="B1489"/>
  <c r="C1489"/>
  <c r="D1489"/>
  <c r="E1489"/>
  <c r="B1488"/>
  <c r="C1488"/>
  <c r="D1488"/>
  <c r="E1488"/>
  <c r="H1488"/>
  <c r="J1488" s="1"/>
  <c r="H1485"/>
  <c r="J1485" s="1"/>
  <c r="C1485"/>
  <c r="D1485"/>
  <c r="E1485"/>
  <c r="B1485"/>
  <c r="H1477"/>
  <c r="J1477" s="1"/>
  <c r="D1477"/>
  <c r="E1477"/>
  <c r="B1477"/>
  <c r="C1477"/>
  <c r="H1476"/>
  <c r="J1476" s="1"/>
  <c r="B1476"/>
  <c r="D1476"/>
  <c r="E1476"/>
  <c r="C1476"/>
  <c r="H1475"/>
  <c r="J1475" s="1"/>
  <c r="D1475"/>
  <c r="E1475"/>
  <c r="B1475"/>
  <c r="C1475"/>
  <c r="H1474"/>
  <c r="J1474" s="1"/>
  <c r="D1474"/>
  <c r="E1474"/>
  <c r="B1474"/>
  <c r="C1474"/>
  <c r="H1467"/>
  <c r="J1467" s="1"/>
  <c r="H1468"/>
  <c r="J1468" s="1"/>
  <c r="H1469"/>
  <c r="J1469" s="1"/>
  <c r="B1467"/>
  <c r="C1467"/>
  <c r="D1467"/>
  <c r="E1467"/>
  <c r="B1468"/>
  <c r="C1468"/>
  <c r="D1468"/>
  <c r="E1468"/>
  <c r="B1469"/>
  <c r="C1469"/>
  <c r="D1469"/>
  <c r="E1469"/>
  <c r="H1466"/>
  <c r="J1466" s="1"/>
  <c r="D1466"/>
  <c r="E1466"/>
  <c r="B1466"/>
  <c r="C1466"/>
  <c r="H1460"/>
  <c r="J1460" s="1"/>
  <c r="H1461"/>
  <c r="J1461" s="1"/>
  <c r="B1460"/>
  <c r="C1460"/>
  <c r="D1460"/>
  <c r="E1460"/>
  <c r="B1461"/>
  <c r="C1461"/>
  <c r="D1461"/>
  <c r="E1461"/>
  <c r="H1459"/>
  <c r="J1459" s="1"/>
  <c r="D1459"/>
  <c r="C1459"/>
  <c r="E1459"/>
  <c r="B1459"/>
  <c r="H1463"/>
  <c r="J1463" s="1"/>
  <c r="H1464"/>
  <c r="J1464" s="1"/>
  <c r="B1463"/>
  <c r="C1463"/>
  <c r="D1463"/>
  <c r="E1463"/>
  <c r="B1464"/>
  <c r="C1464"/>
  <c r="D1464"/>
  <c r="E1464"/>
  <c r="H1462"/>
  <c r="J1462" s="1"/>
  <c r="D1462"/>
  <c r="C1462"/>
  <c r="E1462"/>
  <c r="B1462"/>
  <c r="H1448"/>
  <c r="J1448" s="1"/>
  <c r="D1448"/>
  <c r="E1448"/>
  <c r="B1448"/>
  <c r="C1448"/>
  <c r="H1442"/>
  <c r="J1442" s="1"/>
  <c r="D1442"/>
  <c r="E1442"/>
  <c r="B1442"/>
  <c r="C1442"/>
  <c r="H1436"/>
  <c r="J1436" s="1"/>
  <c r="B1436"/>
  <c r="D1436"/>
  <c r="E1436"/>
  <c r="C1436"/>
  <c r="H1430"/>
  <c r="J1430" s="1"/>
  <c r="D1430"/>
  <c r="E1430"/>
  <c r="B1430"/>
  <c r="C1430"/>
  <c r="H1428"/>
  <c r="J1428" s="1"/>
  <c r="D1428"/>
  <c r="E1428"/>
  <c r="B1428"/>
  <c r="C1428"/>
  <c r="H1426"/>
  <c r="J1426" s="1"/>
  <c r="D1426"/>
  <c r="E1426"/>
  <c r="B1426"/>
  <c r="C1426"/>
  <c r="H1424"/>
  <c r="J1424" s="1"/>
  <c r="D1424"/>
  <c r="E1424"/>
  <c r="B1424"/>
  <c r="C1424"/>
  <c r="H1419"/>
  <c r="J1419" s="1"/>
  <c r="B1419"/>
  <c r="D1419"/>
  <c r="E1419"/>
  <c r="C1419"/>
  <c r="H1418"/>
  <c r="J1418" s="1"/>
  <c r="B1418"/>
  <c r="D1418"/>
  <c r="E1418"/>
  <c r="C1418"/>
  <c r="H1416"/>
  <c r="J1416" s="1"/>
  <c r="B1416"/>
  <c r="D1416"/>
  <c r="E1416"/>
  <c r="C1416"/>
  <c r="H1410"/>
  <c r="J1410" s="1"/>
  <c r="D1410"/>
  <c r="E1410"/>
  <c r="B1410"/>
  <c r="C1410"/>
  <c r="H1408"/>
  <c r="J1408" s="1"/>
  <c r="B1408"/>
  <c r="C1408"/>
  <c r="D1408"/>
  <c r="E1408"/>
  <c r="H1407"/>
  <c r="J1407" s="1"/>
  <c r="D1407"/>
  <c r="E1407"/>
  <c r="B1407"/>
  <c r="C1407"/>
  <c r="H1405"/>
  <c r="J1405" s="1"/>
  <c r="C1405"/>
  <c r="D1405"/>
  <c r="E1405"/>
  <c r="B1405"/>
  <c r="H1401"/>
  <c r="J1401" s="1"/>
  <c r="D1401"/>
  <c r="E1401"/>
  <c r="B1401"/>
  <c r="C1401"/>
  <c r="H1388" l="1"/>
  <c r="J1388" s="1"/>
  <c r="D1388"/>
  <c r="E1388"/>
  <c r="B1388"/>
  <c r="C1388"/>
  <c r="H1382"/>
  <c r="J1382" s="1"/>
  <c r="C1382"/>
  <c r="D1382"/>
  <c r="E1382"/>
  <c r="B1382"/>
  <c r="H1370"/>
  <c r="J1370" s="1"/>
  <c r="C1370"/>
  <c r="D1370"/>
  <c r="E1370"/>
  <c r="B1370"/>
  <c r="H1366"/>
  <c r="J1366" s="1"/>
  <c r="D1366"/>
  <c r="C1366"/>
  <c r="E1366"/>
  <c r="B1366"/>
  <c r="H1367"/>
  <c r="J1367" s="1"/>
  <c r="C1367"/>
  <c r="D1367"/>
  <c r="E1367"/>
  <c r="B1367"/>
  <c r="H1360"/>
  <c r="J1360" s="1"/>
  <c r="C1360"/>
  <c r="D1360"/>
  <c r="E1360"/>
  <c r="B1360"/>
  <c r="H1358"/>
  <c r="J1358" s="1"/>
  <c r="D1358"/>
  <c r="C1358"/>
  <c r="E1358"/>
  <c r="B1358"/>
  <c r="H1356"/>
  <c r="J1356" s="1"/>
  <c r="C1356"/>
  <c r="D1356"/>
  <c r="E1356"/>
  <c r="B1356"/>
  <c r="H1353"/>
  <c r="J1353" s="1"/>
  <c r="C1353"/>
  <c r="D1353"/>
  <c r="E1353"/>
  <c r="B1353"/>
  <c r="H1351"/>
  <c r="J1351" s="1"/>
  <c r="C1351"/>
  <c r="D1351"/>
  <c r="E1351"/>
  <c r="B1351"/>
  <c r="H1348"/>
  <c r="J1348" s="1"/>
  <c r="E1348"/>
  <c r="D1348"/>
  <c r="C1348"/>
  <c r="B1348"/>
  <c r="H1342"/>
  <c r="J1342" s="1"/>
  <c r="B1342"/>
  <c r="C1342"/>
  <c r="D1342"/>
  <c r="E1342"/>
  <c r="H1341"/>
  <c r="J1341" s="1"/>
  <c r="C1341"/>
  <c r="D1341"/>
  <c r="E1341"/>
  <c r="B1341"/>
  <c r="H1339"/>
  <c r="J1339" s="1"/>
  <c r="C1339"/>
  <c r="D1339"/>
  <c r="E1339"/>
  <c r="B1339"/>
  <c r="H1336"/>
  <c r="J1336" s="1"/>
  <c r="C1336"/>
  <c r="D1336"/>
  <c r="E1336"/>
  <c r="B1336"/>
  <c r="H1327"/>
  <c r="J1327" s="1"/>
  <c r="C1327"/>
  <c r="D1327"/>
  <c r="E1327"/>
  <c r="B1327"/>
  <c r="H1326"/>
  <c r="J1326" s="1"/>
  <c r="C1326"/>
  <c r="D1326"/>
  <c r="E1326"/>
  <c r="B1326"/>
  <c r="H1325"/>
  <c r="J1325" s="1"/>
  <c r="C1325"/>
  <c r="D1325"/>
  <c r="E1325"/>
  <c r="B1325"/>
  <c r="H1323"/>
  <c r="J1323" s="1"/>
  <c r="C1323"/>
  <c r="D1323"/>
  <c r="E1323"/>
  <c r="B1323"/>
  <c r="H1321"/>
  <c r="J1321" s="1"/>
  <c r="C1321"/>
  <c r="D1321"/>
  <c r="E1321"/>
  <c r="B1321"/>
  <c r="H1320"/>
  <c r="J1320" s="1"/>
  <c r="C1320"/>
  <c r="D1320"/>
  <c r="E1320"/>
  <c r="B1320"/>
  <c r="H1319"/>
  <c r="J1319" s="1"/>
  <c r="E1319"/>
  <c r="C1319"/>
  <c r="D1319"/>
  <c r="B1319"/>
  <c r="H1315"/>
  <c r="J1315" s="1"/>
  <c r="H1316"/>
  <c r="J1316" s="1"/>
  <c r="H1317"/>
  <c r="J1317" s="1"/>
  <c r="B1315"/>
  <c r="C1315"/>
  <c r="D1315"/>
  <c r="E1315"/>
  <c r="B1316"/>
  <c r="C1316"/>
  <c r="D1316"/>
  <c r="E1316"/>
  <c r="B1317"/>
  <c r="C1317"/>
  <c r="D1317"/>
  <c r="E1317"/>
  <c r="H1312"/>
  <c r="J1312" s="1"/>
  <c r="H1313"/>
  <c r="J1313" s="1"/>
  <c r="H1314"/>
  <c r="J1314" s="1"/>
  <c r="B1312"/>
  <c r="C1312"/>
  <c r="D1312"/>
  <c r="E1312"/>
  <c r="B1313"/>
  <c r="C1313"/>
  <c r="D1313"/>
  <c r="E1313"/>
  <c r="B1314"/>
  <c r="C1314"/>
  <c r="D1314"/>
  <c r="E1314"/>
  <c r="H1311"/>
  <c r="J1311" s="1"/>
  <c r="E1311"/>
  <c r="D1311"/>
  <c r="B1311"/>
  <c r="C1311"/>
  <c r="B1296"/>
  <c r="H1296"/>
  <c r="J1296" s="1"/>
  <c r="E1296"/>
  <c r="D1296"/>
  <c r="C1296"/>
  <c r="B1290"/>
  <c r="H1290"/>
  <c r="J1290" s="1"/>
  <c r="E1290"/>
  <c r="D1290"/>
  <c r="C1290"/>
  <c r="B1287"/>
  <c r="H1287"/>
  <c r="J1287" s="1"/>
  <c r="E1287"/>
  <c r="D1287"/>
  <c r="C1287"/>
  <c r="B1281"/>
  <c r="H1281"/>
  <c r="J1281" s="1"/>
  <c r="E1281"/>
  <c r="D1281"/>
  <c r="C1281"/>
  <c r="B1274"/>
  <c r="H1274"/>
  <c r="J1274" s="1"/>
  <c r="E1274"/>
  <c r="D1274"/>
  <c r="C1274"/>
  <c r="B1272"/>
  <c r="H1272"/>
  <c r="J1272" s="1"/>
  <c r="E1272"/>
  <c r="D1272"/>
  <c r="C1272"/>
  <c r="B1270"/>
  <c r="H1270"/>
  <c r="J1270" s="1"/>
  <c r="E1270"/>
  <c r="D1270"/>
  <c r="C1270"/>
  <c r="H1269"/>
  <c r="J1269" s="1"/>
  <c r="B1269"/>
  <c r="E1269"/>
  <c r="D1269"/>
  <c r="C1269"/>
  <c r="B1266"/>
  <c r="H1266"/>
  <c r="J1266" s="1"/>
  <c r="E1266"/>
  <c r="D1266"/>
  <c r="C1266"/>
  <c r="B1267"/>
  <c r="H1267"/>
  <c r="J1267" s="1"/>
  <c r="E1267"/>
  <c r="D1267"/>
  <c r="C1267"/>
  <c r="H1264"/>
  <c r="J1264" s="1"/>
  <c r="E1264"/>
  <c r="B1264"/>
  <c r="D1264"/>
  <c r="C1264"/>
  <c r="H1261"/>
  <c r="J1261" s="1"/>
  <c r="B1261"/>
  <c r="C1261"/>
  <c r="D1261"/>
  <c r="E1261"/>
  <c r="B1260"/>
  <c r="H1260"/>
  <c r="J1260" s="1"/>
  <c r="E1260"/>
  <c r="D1260"/>
  <c r="C1260"/>
  <c r="B1258"/>
  <c r="H1258"/>
  <c r="J1258" s="1"/>
  <c r="E1258"/>
  <c r="D1258"/>
  <c r="C1258"/>
  <c r="B1257"/>
  <c r="H1257"/>
  <c r="J1257" s="1"/>
  <c r="E1257"/>
  <c r="D1257"/>
  <c r="C1257"/>
  <c r="B1255"/>
  <c r="H1255"/>
  <c r="J1255" s="1"/>
  <c r="E1255"/>
  <c r="D1255"/>
  <c r="C1255"/>
  <c r="H1249"/>
  <c r="J1249" s="1"/>
  <c r="B1249"/>
  <c r="C1249"/>
  <c r="D1249"/>
  <c r="E1249"/>
  <c r="B1248"/>
  <c r="H1248"/>
  <c r="J1248" s="1"/>
  <c r="E1248"/>
  <c r="D1248"/>
  <c r="C1248"/>
  <c r="H1246"/>
  <c r="J1246" s="1"/>
  <c r="E1246"/>
  <c r="B1246"/>
  <c r="D1246"/>
  <c r="C1246"/>
  <c r="H1237" l="1"/>
  <c r="J1237" s="1"/>
  <c r="H1238"/>
  <c r="J1238" s="1"/>
  <c r="B1237"/>
  <c r="C1237"/>
  <c r="D1237"/>
  <c r="E1237"/>
  <c r="B1238"/>
  <c r="C1238"/>
  <c r="D1238"/>
  <c r="E1238"/>
  <c r="B1236"/>
  <c r="H1236"/>
  <c r="J1236" s="1"/>
  <c r="E1236"/>
  <c r="D1236"/>
  <c r="C1236"/>
  <c r="H1227"/>
  <c r="J1227" s="1"/>
  <c r="B1227"/>
  <c r="D1227"/>
  <c r="E1227"/>
  <c r="C1227"/>
  <c r="H1226"/>
  <c r="J1226" s="1"/>
  <c r="B1226"/>
  <c r="D1226"/>
  <c r="E1226"/>
  <c r="C1226"/>
  <c r="H1225"/>
  <c r="J1225" s="1"/>
  <c r="B1225"/>
  <c r="E1225"/>
  <c r="D1225"/>
  <c r="C1225"/>
  <c r="H1223"/>
  <c r="J1223" s="1"/>
  <c r="E1223"/>
  <c r="D1223"/>
  <c r="C1223"/>
  <c r="B1223"/>
  <c r="H1221"/>
  <c r="J1221" s="1"/>
  <c r="B1221"/>
  <c r="C1221"/>
  <c r="D1221"/>
  <c r="E1221"/>
  <c r="B1220"/>
  <c r="H1220"/>
  <c r="J1220" s="1"/>
  <c r="E1220"/>
  <c r="D1220"/>
  <c r="C1220"/>
  <c r="B1218"/>
  <c r="H1218"/>
  <c r="J1218" s="1"/>
  <c r="H1219"/>
  <c r="J1219" s="1"/>
  <c r="E1218"/>
  <c r="D1218"/>
  <c r="C1218"/>
  <c r="E1219"/>
  <c r="D1219"/>
  <c r="B1219"/>
  <c r="C1219"/>
  <c r="H1215"/>
  <c r="J1215" s="1"/>
  <c r="H1216"/>
  <c r="J1216" s="1"/>
  <c r="B1215"/>
  <c r="C1215"/>
  <c r="D1215"/>
  <c r="E1215"/>
  <c r="B1216"/>
  <c r="C1216"/>
  <c r="D1216"/>
  <c r="E1216"/>
  <c r="H1214"/>
  <c r="J1214" s="1"/>
  <c r="E1214"/>
  <c r="D1214"/>
  <c r="C1214"/>
  <c r="B1214"/>
  <c r="H1213"/>
  <c r="J1213" s="1"/>
  <c r="E1213"/>
  <c r="D1213"/>
  <c r="C1213"/>
  <c r="B1213"/>
  <c r="H1212"/>
  <c r="J1212" s="1"/>
  <c r="E1212"/>
  <c r="D1212"/>
  <c r="C1212"/>
  <c r="B1212"/>
  <c r="H1211"/>
  <c r="J1211" s="1"/>
  <c r="B1211"/>
  <c r="C1211"/>
  <c r="D1211"/>
  <c r="E1211"/>
  <c r="H1210"/>
  <c r="J1210" s="1"/>
  <c r="E1210"/>
  <c r="D1210"/>
  <c r="C1210"/>
  <c r="B1210"/>
  <c r="B1209"/>
  <c r="H1209"/>
  <c r="J1209" s="1"/>
  <c r="E1209"/>
  <c r="D1209"/>
  <c r="C1209"/>
  <c r="H1177"/>
  <c r="J1177" s="1"/>
  <c r="E1177"/>
  <c r="D1177"/>
  <c r="C1177"/>
  <c r="B1177"/>
  <c r="B1172"/>
  <c r="H1172"/>
  <c r="J1172" s="1"/>
  <c r="E1172"/>
  <c r="D1172"/>
  <c r="C1172"/>
  <c r="B1156"/>
  <c r="H1156"/>
  <c r="J1156" s="1"/>
  <c r="E1156"/>
  <c r="D1156"/>
  <c r="C1156"/>
  <c r="B1144"/>
  <c r="H1144"/>
  <c r="J1144" s="1"/>
  <c r="E1144"/>
  <c r="D1144"/>
  <c r="C1144"/>
  <c r="B1192" l="1"/>
  <c r="H1192"/>
  <c r="J1192" s="1"/>
  <c r="E1192"/>
  <c r="D1192"/>
  <c r="C1192"/>
  <c r="B1187"/>
  <c r="H1187"/>
  <c r="J1187" s="1"/>
  <c r="E1187"/>
  <c r="D1187"/>
  <c r="C1187"/>
  <c r="B1179"/>
  <c r="H1179"/>
  <c r="J1179" s="1"/>
  <c r="E1179"/>
  <c r="D1179"/>
  <c r="C1179"/>
  <c r="B1164"/>
  <c r="H1164"/>
  <c r="J1164" s="1"/>
  <c r="E1164"/>
  <c r="D1164"/>
  <c r="C1164"/>
  <c r="B1162"/>
  <c r="H1162"/>
  <c r="J1162" s="1"/>
  <c r="E1162"/>
  <c r="D1162"/>
  <c r="C1162"/>
  <c r="H1161"/>
  <c r="J1161" s="1"/>
  <c r="E1161"/>
  <c r="B1161"/>
  <c r="D1161"/>
  <c r="C1161"/>
  <c r="B1159"/>
  <c r="H1159"/>
  <c r="J1159" s="1"/>
  <c r="E1159"/>
  <c r="D1159"/>
  <c r="C1159"/>
  <c r="B1155"/>
  <c r="H1155"/>
  <c r="J1155" s="1"/>
  <c r="E1155"/>
  <c r="D1155"/>
  <c r="C1155"/>
  <c r="B1153"/>
  <c r="H1153"/>
  <c r="J1153" s="1"/>
  <c r="E1153"/>
  <c r="D1153"/>
  <c r="C1153"/>
  <c r="H1147"/>
  <c r="J1147" s="1"/>
  <c r="B1147"/>
  <c r="C1147"/>
  <c r="D1147"/>
  <c r="E1147"/>
  <c r="B1146"/>
  <c r="H1146"/>
  <c r="J1146" s="1"/>
  <c r="E1146"/>
  <c r="D1146"/>
  <c r="C1146"/>
  <c r="B1141" l="1"/>
  <c r="H1141"/>
  <c r="J1141" s="1"/>
  <c r="E1141"/>
  <c r="D1141"/>
  <c r="C1141"/>
  <c r="B1128"/>
  <c r="H1128"/>
  <c r="J1128" s="1"/>
  <c r="E1128"/>
  <c r="D1128"/>
  <c r="C1128"/>
  <c r="B1123"/>
  <c r="H1123"/>
  <c r="J1123" s="1"/>
  <c r="E1123"/>
  <c r="D1123"/>
  <c r="C1123"/>
  <c r="B1120"/>
  <c r="H1120"/>
  <c r="J1120" s="1"/>
  <c r="E1120"/>
  <c r="D1120"/>
  <c r="C1120"/>
  <c r="H1114"/>
  <c r="J1114" s="1"/>
  <c r="E1114"/>
  <c r="D1114"/>
  <c r="C1114"/>
  <c r="B1114"/>
  <c r="B1108"/>
  <c r="H1108"/>
  <c r="J1108" s="1"/>
  <c r="E1108"/>
  <c r="D1108"/>
  <c r="C1108"/>
  <c r="B1106"/>
  <c r="H1106"/>
  <c r="J1106" s="1"/>
  <c r="E1106"/>
  <c r="C11" i="91" s="1"/>
  <c r="D1106" i="86"/>
  <c r="B11" i="91" s="1"/>
  <c r="C1106" i="86"/>
  <c r="H1104"/>
  <c r="J1104" s="1"/>
  <c r="B1104"/>
  <c r="C1104"/>
  <c r="D1104"/>
  <c r="E1104"/>
  <c r="B1103"/>
  <c r="H1103"/>
  <c r="J1103" s="1"/>
  <c r="E1103"/>
  <c r="D1103"/>
  <c r="C1103"/>
  <c r="B1101"/>
  <c r="H1101"/>
  <c r="J1101" s="1"/>
  <c r="E1101"/>
  <c r="D1101"/>
  <c r="C1101"/>
  <c r="B1100"/>
  <c r="H1100"/>
  <c r="J1100" s="1"/>
  <c r="E1100"/>
  <c r="D1100"/>
  <c r="C1100"/>
  <c r="H1095"/>
  <c r="J1095" s="1"/>
  <c r="B1095"/>
  <c r="C1095"/>
  <c r="D1095"/>
  <c r="E1095"/>
  <c r="B1094"/>
  <c r="H1094"/>
  <c r="J1094" s="1"/>
  <c r="E1094"/>
  <c r="D1094"/>
  <c r="C1094"/>
  <c r="B1092"/>
  <c r="H1092"/>
  <c r="J1092" s="1"/>
  <c r="E1092"/>
  <c r="D1092"/>
  <c r="C1092"/>
  <c r="B1090"/>
  <c r="H1090"/>
  <c r="J1090" s="1"/>
  <c r="E1090"/>
  <c r="D1090"/>
  <c r="C1090"/>
  <c r="B1080"/>
  <c r="H1080"/>
  <c r="J1080" s="1"/>
  <c r="E1080"/>
  <c r="D1080"/>
  <c r="C1080"/>
  <c r="I2052" l="1"/>
  <c r="S2024"/>
  <c r="S2021"/>
  <c r="S2019"/>
  <c r="L2019"/>
  <c r="M2019" s="1"/>
  <c r="S2018"/>
  <c r="S2017"/>
  <c r="S2016"/>
  <c r="S2014"/>
  <c r="L2014"/>
  <c r="M2014" s="1"/>
  <c r="S2013"/>
  <c r="S2012"/>
  <c r="L2012"/>
  <c r="M2012" s="1"/>
  <c r="S2011"/>
  <c r="L2011"/>
  <c r="M2011" s="1"/>
  <c r="S2010"/>
  <c r="S2009"/>
  <c r="L2009"/>
  <c r="M2009" s="1"/>
  <c r="S2008"/>
  <c r="S2007"/>
  <c r="S2006"/>
  <c r="S2004"/>
  <c r="L2004"/>
  <c r="M2004" s="1"/>
  <c r="S2003"/>
  <c r="L2003"/>
  <c r="M2003" s="1"/>
  <c r="S2002"/>
  <c r="L2002"/>
  <c r="M2002" s="1"/>
  <c r="S2001"/>
  <c r="S2000"/>
  <c r="S1999"/>
  <c r="S1998"/>
  <c r="S1996"/>
  <c r="L1996"/>
  <c r="M1996" s="1"/>
  <c r="S1995"/>
  <c r="S1994"/>
  <c r="L1994"/>
  <c r="M1994" s="1"/>
  <c r="S1993"/>
  <c r="L1993"/>
  <c r="M1993" s="1"/>
  <c r="S1992"/>
  <c r="S1991"/>
  <c r="L1991"/>
  <c r="M1991" s="1"/>
  <c r="S1990"/>
  <c r="L1990"/>
  <c r="M1990" s="1"/>
  <c r="S1989"/>
  <c r="S1988"/>
  <c r="L1988"/>
  <c r="M1988" s="1"/>
  <c r="S1987"/>
  <c r="L1987"/>
  <c r="M1987" s="1"/>
  <c r="S1986"/>
  <c r="S1985"/>
  <c r="S1984"/>
  <c r="L1984"/>
  <c r="M1984" s="1"/>
  <c r="S1983"/>
  <c r="S1982"/>
  <c r="S1981"/>
  <c r="S1980"/>
  <c r="S1978"/>
  <c r="L1978"/>
  <c r="J1978"/>
  <c r="S1977"/>
  <c r="L1977"/>
  <c r="M1977" s="1"/>
  <c r="S1976"/>
  <c r="S1975"/>
  <c r="S1974"/>
  <c r="L1974"/>
  <c r="M1974" s="1"/>
  <c r="M2022" s="1"/>
  <c r="C50" i="90" s="1"/>
  <c r="S1973" i="86"/>
  <c r="S1972"/>
  <c r="S1971"/>
  <c r="S1969"/>
  <c r="S1968"/>
  <c r="S1966"/>
  <c r="F1966"/>
  <c r="L1966" s="1"/>
  <c r="M1966" s="1"/>
  <c r="S1965"/>
  <c r="S1964"/>
  <c r="S1962"/>
  <c r="L1962"/>
  <c r="M1962" s="1"/>
  <c r="S1961"/>
  <c r="L1961"/>
  <c r="M1961" s="1"/>
  <c r="S1960"/>
  <c r="S1959"/>
  <c r="S1958"/>
  <c r="S1957"/>
  <c r="S1955"/>
  <c r="L1955"/>
  <c r="M1955" s="1"/>
  <c r="S1954"/>
  <c r="S1953"/>
  <c r="S1952"/>
  <c r="S1950"/>
  <c r="L1950"/>
  <c r="M1950" s="1"/>
  <c r="S1949"/>
  <c r="S1948"/>
  <c r="L1948"/>
  <c r="M1948" s="1"/>
  <c r="S1947"/>
  <c r="L1947"/>
  <c r="M1947" s="1"/>
  <c r="S1946"/>
  <c r="S1945"/>
  <c r="L1945"/>
  <c r="M1945" s="1"/>
  <c r="S1944"/>
  <c r="L1944"/>
  <c r="M1944" s="1"/>
  <c r="S1943"/>
  <c r="S1942"/>
  <c r="L1942"/>
  <c r="M1942" s="1"/>
  <c r="S1941"/>
  <c r="L1941"/>
  <c r="M1941" s="1"/>
  <c r="S1940"/>
  <c r="S1939"/>
  <c r="S1938"/>
  <c r="L1938"/>
  <c r="M1938" s="1"/>
  <c r="S1937"/>
  <c r="S1936"/>
  <c r="S1935"/>
  <c r="S1934"/>
  <c r="S1932"/>
  <c r="L1932"/>
  <c r="M1932" s="1"/>
  <c r="S1931"/>
  <c r="L1931"/>
  <c r="M1931" s="1"/>
  <c r="S1930"/>
  <c r="S1929"/>
  <c r="S1928"/>
  <c r="L1928"/>
  <c r="M1928" s="1"/>
  <c r="S1927"/>
  <c r="S1926"/>
  <c r="S1925"/>
  <c r="S1923"/>
  <c r="S1922"/>
  <c r="S1920"/>
  <c r="L1920"/>
  <c r="M1920" s="1"/>
  <c r="S1919"/>
  <c r="L1919"/>
  <c r="M1919" s="1"/>
  <c r="S1918"/>
  <c r="L1918"/>
  <c r="M1918" s="1"/>
  <c r="S1917"/>
  <c r="L1917"/>
  <c r="M1917" s="1"/>
  <c r="S1916"/>
  <c r="S1915"/>
  <c r="L1915"/>
  <c r="M1915" s="1"/>
  <c r="S1914"/>
  <c r="L1914"/>
  <c r="M1914" s="1"/>
  <c r="S1913"/>
  <c r="L1913"/>
  <c r="M1913" s="1"/>
  <c r="S1912"/>
  <c r="L1912"/>
  <c r="M1912" s="1"/>
  <c r="S1911"/>
  <c r="S1910"/>
  <c r="L1910"/>
  <c r="M1910" s="1"/>
  <c r="G1910"/>
  <c r="S1909"/>
  <c r="L1909"/>
  <c r="M1909" s="1"/>
  <c r="G1909"/>
  <c r="S1908"/>
  <c r="L1908"/>
  <c r="M1908" s="1"/>
  <c r="G1908"/>
  <c r="S1907"/>
  <c r="L1907"/>
  <c r="M1907" s="1"/>
  <c r="G1907"/>
  <c r="S1906"/>
  <c r="L1906"/>
  <c r="M1906" s="1"/>
  <c r="G1906"/>
  <c r="S1905"/>
  <c r="L1905"/>
  <c r="M1905" s="1"/>
  <c r="G1905"/>
  <c r="S1904"/>
  <c r="L1904"/>
  <c r="M1904" s="1"/>
  <c r="G1904"/>
  <c r="S1903"/>
  <c r="L1903"/>
  <c r="M1903" s="1"/>
  <c r="S1902"/>
  <c r="L1902"/>
  <c r="M1902" s="1"/>
  <c r="S1901"/>
  <c r="S1900"/>
  <c r="L1900"/>
  <c r="M1900" s="1"/>
  <c r="S1899"/>
  <c r="L1899"/>
  <c r="M1899" s="1"/>
  <c r="S1898"/>
  <c r="S1897"/>
  <c r="S1896"/>
  <c r="S1894"/>
  <c r="S1893"/>
  <c r="S1891"/>
  <c r="L1891"/>
  <c r="M1891" s="1"/>
  <c r="S1890"/>
  <c r="L1890"/>
  <c r="M1890" s="1"/>
  <c r="S1889"/>
  <c r="S1888"/>
  <c r="S1887"/>
  <c r="S1886"/>
  <c r="S1884"/>
  <c r="L1884"/>
  <c r="M1884" s="1"/>
  <c r="S1883"/>
  <c r="S1882"/>
  <c r="S1881"/>
  <c r="S1880"/>
  <c r="S1878"/>
  <c r="L1878"/>
  <c r="M1878" s="1"/>
  <c r="S1877"/>
  <c r="S1876"/>
  <c r="S1875"/>
  <c r="L1875"/>
  <c r="M1875" s="1"/>
  <c r="S1874"/>
  <c r="S1873"/>
  <c r="L1873"/>
  <c r="M1873" s="1"/>
  <c r="S1872"/>
  <c r="S1871"/>
  <c r="L1871"/>
  <c r="M1871" s="1"/>
  <c r="S1870"/>
  <c r="S1869"/>
  <c r="S1868"/>
  <c r="S1867"/>
  <c r="S1865"/>
  <c r="L1865"/>
  <c r="M1865" s="1"/>
  <c r="S1864"/>
  <c r="S1863"/>
  <c r="S1862"/>
  <c r="L1862"/>
  <c r="M1862" s="1"/>
  <c r="S1861"/>
  <c r="S1860"/>
  <c r="S1859"/>
  <c r="S1858"/>
  <c r="S1856"/>
  <c r="L1856"/>
  <c r="M1856" s="1"/>
  <c r="S1855"/>
  <c r="S1854"/>
  <c r="S1853"/>
  <c r="S1852"/>
  <c r="S1850"/>
  <c r="L1850"/>
  <c r="M1850" s="1"/>
  <c r="S1849"/>
  <c r="S1848"/>
  <c r="S1847"/>
  <c r="L1847"/>
  <c r="M1847" s="1"/>
  <c r="S1846"/>
  <c r="S1845"/>
  <c r="S1844"/>
  <c r="L1844"/>
  <c r="M1844" s="1"/>
  <c r="S1843"/>
  <c r="S1842"/>
  <c r="L1842"/>
  <c r="M1842" s="1"/>
  <c r="S1841"/>
  <c r="S1840"/>
  <c r="L1840"/>
  <c r="M1840" s="1"/>
  <c r="G1840"/>
  <c r="S1839"/>
  <c r="S1838"/>
  <c r="S1837"/>
  <c r="L1837"/>
  <c r="M1837" s="1"/>
  <c r="S1836"/>
  <c r="L1836"/>
  <c r="M1836" s="1"/>
  <c r="S1835"/>
  <c r="L1835"/>
  <c r="S1834"/>
  <c r="S1833"/>
  <c r="L1833"/>
  <c r="M1833" s="1"/>
  <c r="S1832"/>
  <c r="S1831"/>
  <c r="S1830"/>
  <c r="S1829"/>
  <c r="S1827"/>
  <c r="L1827"/>
  <c r="S1826"/>
  <c r="L1826"/>
  <c r="M1826" s="1"/>
  <c r="S1825"/>
  <c r="S1824"/>
  <c r="L1824"/>
  <c r="M1824" s="1"/>
  <c r="S1823"/>
  <c r="S1822"/>
  <c r="S1821"/>
  <c r="L1821"/>
  <c r="M1821" s="1"/>
  <c r="S1820"/>
  <c r="S1819"/>
  <c r="S1818"/>
  <c r="S1817"/>
  <c r="S1816"/>
  <c r="S1814"/>
  <c r="S1813"/>
  <c r="S1811"/>
  <c r="L1811"/>
  <c r="M1811" s="1"/>
  <c r="S1810"/>
  <c r="L1810"/>
  <c r="M1810" s="1"/>
  <c r="S1809"/>
  <c r="L1809"/>
  <c r="M1809" s="1"/>
  <c r="S1808"/>
  <c r="L1808"/>
  <c r="M1808" s="1"/>
  <c r="S1807"/>
  <c r="S1806"/>
  <c r="L1806"/>
  <c r="M1806" s="1"/>
  <c r="S1805"/>
  <c r="L1805"/>
  <c r="M1805" s="1"/>
  <c r="S1804"/>
  <c r="S1803"/>
  <c r="L1803"/>
  <c r="M1803" s="1"/>
  <c r="S1802"/>
  <c r="L1802"/>
  <c r="M1802" s="1"/>
  <c r="S1801"/>
  <c r="L1801"/>
  <c r="M1801" s="1"/>
  <c r="S1800"/>
  <c r="L1800"/>
  <c r="M1800" s="1"/>
  <c r="S1799"/>
  <c r="L1799"/>
  <c r="M1799" s="1"/>
  <c r="S1798"/>
  <c r="S1797"/>
  <c r="L1797"/>
  <c r="M1797" s="1"/>
  <c r="G1797"/>
  <c r="S1796"/>
  <c r="L1796"/>
  <c r="M1796" s="1"/>
  <c r="G1796"/>
  <c r="S1795"/>
  <c r="L1795"/>
  <c r="M1795" s="1"/>
  <c r="G1795"/>
  <c r="S1794"/>
  <c r="L1794"/>
  <c r="M1794" s="1"/>
  <c r="G1794"/>
  <c r="S1793"/>
  <c r="L1793"/>
  <c r="M1793" s="1"/>
  <c r="G1793"/>
  <c r="S1792"/>
  <c r="L1792"/>
  <c r="M1792" s="1"/>
  <c r="G1792"/>
  <c r="S1791"/>
  <c r="L1791"/>
  <c r="M1791" s="1"/>
  <c r="G1791"/>
  <c r="S1790"/>
  <c r="L1790"/>
  <c r="M1790" s="1"/>
  <c r="G1790"/>
  <c r="S1789"/>
  <c r="L1789"/>
  <c r="M1789" s="1"/>
  <c r="G1789"/>
  <c r="S1788"/>
  <c r="L1788"/>
  <c r="M1788" s="1"/>
  <c r="G1788"/>
  <c r="S1787"/>
  <c r="S1786"/>
  <c r="L1786"/>
  <c r="M1786" s="1"/>
  <c r="S1785"/>
  <c r="S1784"/>
  <c r="S1783"/>
  <c r="S1781"/>
  <c r="S1780"/>
  <c r="S1778"/>
  <c r="L1778"/>
  <c r="M1778" s="1"/>
  <c r="S1777"/>
  <c r="S1776"/>
  <c r="S1774"/>
  <c r="L1774"/>
  <c r="M1774" s="1"/>
  <c r="S1773"/>
  <c r="L1773"/>
  <c r="M1773" s="1"/>
  <c r="S1772"/>
  <c r="S1771"/>
  <c r="L1771"/>
  <c r="M1771" s="1"/>
  <c r="S1770"/>
  <c r="L1770"/>
  <c r="M1770" s="1"/>
  <c r="S1769"/>
  <c r="S1768"/>
  <c r="S1767"/>
  <c r="S1765"/>
  <c r="L1765"/>
  <c r="M1765" s="1"/>
  <c r="S1764"/>
  <c r="S1763"/>
  <c r="S1762"/>
  <c r="S1761"/>
  <c r="S1759"/>
  <c r="L1759"/>
  <c r="M1759" s="1"/>
  <c r="S1758"/>
  <c r="S1757"/>
  <c r="S1756"/>
  <c r="S1754"/>
  <c r="L1754"/>
  <c r="M1754" s="1"/>
  <c r="S1753"/>
  <c r="S1752"/>
  <c r="L1752"/>
  <c r="M1752" s="1"/>
  <c r="S1751"/>
  <c r="S1750"/>
  <c r="S1749"/>
  <c r="S1747"/>
  <c r="L1747"/>
  <c r="M1747" s="1"/>
  <c r="S1746"/>
  <c r="S1745"/>
  <c r="L1745"/>
  <c r="M1745" s="1"/>
  <c r="S1744"/>
  <c r="S1743"/>
  <c r="L1743"/>
  <c r="M1743" s="1"/>
  <c r="S1742"/>
  <c r="S1741"/>
  <c r="S1740"/>
  <c r="S1739"/>
  <c r="S1737"/>
  <c r="L1737"/>
  <c r="M1737" s="1"/>
  <c r="S1736"/>
  <c r="S1735"/>
  <c r="S1734"/>
  <c r="S1732"/>
  <c r="L1732"/>
  <c r="M1732" s="1"/>
  <c r="S1731"/>
  <c r="S1730"/>
  <c r="S1729"/>
  <c r="S1728"/>
  <c r="S1726"/>
  <c r="L1726"/>
  <c r="M1726" s="1"/>
  <c r="S1725"/>
  <c r="S1724"/>
  <c r="S1723"/>
  <c r="L1723"/>
  <c r="M1723" s="1"/>
  <c r="S1722"/>
  <c r="S1721"/>
  <c r="L1721"/>
  <c r="M1721" s="1"/>
  <c r="S1720"/>
  <c r="S1719"/>
  <c r="L1719"/>
  <c r="M1719" s="1"/>
  <c r="G1719"/>
  <c r="S1718"/>
  <c r="S1717"/>
  <c r="L1717"/>
  <c r="M1717" s="1"/>
  <c r="S1716"/>
  <c r="S1715"/>
  <c r="S1714"/>
  <c r="L1714"/>
  <c r="M1714" s="1"/>
  <c r="S1713"/>
  <c r="L1713"/>
  <c r="M1713" s="1"/>
  <c r="S1712"/>
  <c r="S1711"/>
  <c r="L1711"/>
  <c r="M1711" s="1"/>
  <c r="S1710"/>
  <c r="S1709"/>
  <c r="S1708"/>
  <c r="S1707"/>
  <c r="S1705"/>
  <c r="L1705"/>
  <c r="M1705" s="1"/>
  <c r="S1704"/>
  <c r="L1704"/>
  <c r="M1704" s="1"/>
  <c r="S1703"/>
  <c r="S1702"/>
  <c r="L1702"/>
  <c r="M1702" s="1"/>
  <c r="S1701"/>
  <c r="S1700"/>
  <c r="S1699"/>
  <c r="L1699"/>
  <c r="M1699" s="1"/>
  <c r="S1698"/>
  <c r="S1697"/>
  <c r="S1696"/>
  <c r="S1695"/>
  <c r="S1694"/>
  <c r="S1692"/>
  <c r="S1691"/>
  <c r="S1689"/>
  <c r="L1689"/>
  <c r="M1689" s="1"/>
  <c r="S1688"/>
  <c r="L1688"/>
  <c r="M1688" s="1"/>
  <c r="S1687"/>
  <c r="L1687"/>
  <c r="M1687" s="1"/>
  <c r="S1686"/>
  <c r="L1686"/>
  <c r="M1686" s="1"/>
  <c r="S1685"/>
  <c r="S1684"/>
  <c r="L1684"/>
  <c r="M1684" s="1"/>
  <c r="S1683"/>
  <c r="S1682"/>
  <c r="L1682"/>
  <c r="M1682" s="1"/>
  <c r="S1681"/>
  <c r="L1681"/>
  <c r="M1681" s="1"/>
  <c r="S1680"/>
  <c r="L1680"/>
  <c r="M1680" s="1"/>
  <c r="S1679"/>
  <c r="L1679"/>
  <c r="M1679" s="1"/>
  <c r="S1678"/>
  <c r="L1678"/>
  <c r="M1678" s="1"/>
  <c r="S1677"/>
  <c r="S1676"/>
  <c r="L1676"/>
  <c r="M1676" s="1"/>
  <c r="G1676"/>
  <c r="S1675"/>
  <c r="L1675"/>
  <c r="M1675" s="1"/>
  <c r="G1675"/>
  <c r="S1674"/>
  <c r="L1674"/>
  <c r="M1674" s="1"/>
  <c r="G1674"/>
  <c r="S1673"/>
  <c r="L1673"/>
  <c r="M1673" s="1"/>
  <c r="G1673"/>
  <c r="S1672"/>
  <c r="L1672"/>
  <c r="M1672" s="1"/>
  <c r="G1672"/>
  <c r="S1671"/>
  <c r="L1671"/>
  <c r="M1671" s="1"/>
  <c r="S1670"/>
  <c r="S1669"/>
  <c r="L1669"/>
  <c r="M1669" s="1"/>
  <c r="S1668"/>
  <c r="L1668"/>
  <c r="M1668" s="1"/>
  <c r="S1667"/>
  <c r="L1667"/>
  <c r="M1667" s="1"/>
  <c r="S1666"/>
  <c r="S1665"/>
  <c r="S1664"/>
  <c r="S1663"/>
  <c r="S1661"/>
  <c r="S1659"/>
  <c r="L1659"/>
  <c r="M1659" s="1"/>
  <c r="S1658"/>
  <c r="S1657"/>
  <c r="S1656"/>
  <c r="S1655"/>
  <c r="L1655"/>
  <c r="M1655" s="1"/>
  <c r="S1654"/>
  <c r="S1653"/>
  <c r="L1653"/>
  <c r="M1653" s="1"/>
  <c r="S1652"/>
  <c r="S1651"/>
  <c r="S1650"/>
  <c r="S1649"/>
  <c r="S1647"/>
  <c r="L1647"/>
  <c r="M1647" s="1"/>
  <c r="S1646"/>
  <c r="S1645"/>
  <c r="S1644"/>
  <c r="L1644"/>
  <c r="M1644" s="1"/>
  <c r="S1643"/>
  <c r="S1642"/>
  <c r="S1641"/>
  <c r="L1641"/>
  <c r="M1641" s="1"/>
  <c r="S1640"/>
  <c r="S1639"/>
  <c r="L1639"/>
  <c r="M1639" s="1"/>
  <c r="S1638"/>
  <c r="S1637"/>
  <c r="S1636"/>
  <c r="S1634"/>
  <c r="L1634"/>
  <c r="M1634" s="1"/>
  <c r="S1633"/>
  <c r="S1632"/>
  <c r="L1632"/>
  <c r="M1632" s="1"/>
  <c r="S1631"/>
  <c r="S1630"/>
  <c r="S1629"/>
  <c r="S1627"/>
  <c r="L1627"/>
  <c r="M1627" s="1"/>
  <c r="S1626"/>
  <c r="S1625"/>
  <c r="S1624"/>
  <c r="S1622"/>
  <c r="L1622"/>
  <c r="M1622" s="1"/>
  <c r="S1621"/>
  <c r="S1620"/>
  <c r="L1620"/>
  <c r="M1620" s="1"/>
  <c r="S1619"/>
  <c r="S1618"/>
  <c r="S1615"/>
  <c r="L1615"/>
  <c r="M1615" s="1"/>
  <c r="S1614"/>
  <c r="S1613"/>
  <c r="L1613"/>
  <c r="M1613" s="1"/>
  <c r="S1612"/>
  <c r="S1611"/>
  <c r="L1611"/>
  <c r="M1611" s="1"/>
  <c r="S1610"/>
  <c r="L1610"/>
  <c r="M1610" s="1"/>
  <c r="S1609"/>
  <c r="S1608"/>
  <c r="S1607"/>
  <c r="S1606"/>
  <c r="S1604"/>
  <c r="L1604"/>
  <c r="M1604" s="1"/>
  <c r="S1603"/>
  <c r="L1603"/>
  <c r="M1603" s="1"/>
  <c r="S1602"/>
  <c r="L1602"/>
  <c r="M1602" s="1"/>
  <c r="S1601"/>
  <c r="S1600"/>
  <c r="L1600"/>
  <c r="M1600" s="1"/>
  <c r="S1599"/>
  <c r="S1598"/>
  <c r="L1598"/>
  <c r="M1598" s="1"/>
  <c r="S1597"/>
  <c r="S1596"/>
  <c r="L1596"/>
  <c r="M1596" s="1"/>
  <c r="G1596"/>
  <c r="S1595"/>
  <c r="L1595"/>
  <c r="M1595" s="1"/>
  <c r="S1594"/>
  <c r="S1593"/>
  <c r="S1592"/>
  <c r="L1592"/>
  <c r="M1592" s="1"/>
  <c r="S1591"/>
  <c r="L1591"/>
  <c r="M1591" s="1"/>
  <c r="S1590"/>
  <c r="L1590"/>
  <c r="M1590" s="1"/>
  <c r="S1589"/>
  <c r="S1588"/>
  <c r="L1588"/>
  <c r="M1588" s="1"/>
  <c r="S1587"/>
  <c r="S1586"/>
  <c r="S1585"/>
  <c r="L1585"/>
  <c r="M1585" s="1"/>
  <c r="S1584"/>
  <c r="S1583"/>
  <c r="S1582"/>
  <c r="S1581"/>
  <c r="S1579"/>
  <c r="L1579"/>
  <c r="M1579" s="1"/>
  <c r="S1578"/>
  <c r="S1577"/>
  <c r="L1577"/>
  <c r="M1577" s="1"/>
  <c r="S1576"/>
  <c r="L1576"/>
  <c r="M1576" s="1"/>
  <c r="S1575"/>
  <c r="S1574"/>
  <c r="L1574"/>
  <c r="M1574" s="1"/>
  <c r="S1573"/>
  <c r="L1573"/>
  <c r="M1573" s="1"/>
  <c r="S1572"/>
  <c r="L1572"/>
  <c r="M1572" s="1"/>
  <c r="S1571"/>
  <c r="L1571"/>
  <c r="M1571" s="1"/>
  <c r="S1570"/>
  <c r="S1569"/>
  <c r="S1568"/>
  <c r="S1567"/>
  <c r="S1566"/>
  <c r="S1564"/>
  <c r="S1563"/>
  <c r="S1561"/>
  <c r="L1561"/>
  <c r="M1561" s="1"/>
  <c r="S1560"/>
  <c r="S1559"/>
  <c r="S1558"/>
  <c r="S1557"/>
  <c r="S1555"/>
  <c r="L1555"/>
  <c r="M1555" s="1"/>
  <c r="S1554"/>
  <c r="S1553"/>
  <c r="L1553"/>
  <c r="M1553" s="1"/>
  <c r="S1552"/>
  <c r="S1551"/>
  <c r="L1551"/>
  <c r="M1551" s="1"/>
  <c r="G1551"/>
  <c r="S1550"/>
  <c r="S1549"/>
  <c r="S1548"/>
  <c r="L1548"/>
  <c r="M1548" s="1"/>
  <c r="S1547"/>
  <c r="S1546"/>
  <c r="L1546"/>
  <c r="M1546" s="1"/>
  <c r="S1545"/>
  <c r="S1544"/>
  <c r="S1543"/>
  <c r="S1542"/>
  <c r="S1541"/>
  <c r="S1539"/>
  <c r="S1537"/>
  <c r="L1537"/>
  <c r="M1537" s="1"/>
  <c r="S1536"/>
  <c r="S1533"/>
  <c r="L1533"/>
  <c r="M1533" s="1"/>
  <c r="S1532"/>
  <c r="S1531"/>
  <c r="L1531"/>
  <c r="M1531" s="1"/>
  <c r="S1530"/>
  <c r="S1529"/>
  <c r="S1528"/>
  <c r="L1528"/>
  <c r="M1528" s="1"/>
  <c r="S1527"/>
  <c r="S1526"/>
  <c r="S1525"/>
  <c r="S1524"/>
  <c r="S1522"/>
  <c r="L1522"/>
  <c r="M1522" s="1"/>
  <c r="S1521"/>
  <c r="L1521"/>
  <c r="M1521" s="1"/>
  <c r="S1520"/>
  <c r="S1519"/>
  <c r="S1518"/>
  <c r="S1516"/>
  <c r="L1516"/>
  <c r="M1516" s="1"/>
  <c r="S1515"/>
  <c r="S1514"/>
  <c r="S1513"/>
  <c r="S1511"/>
  <c r="L1511"/>
  <c r="M1511" s="1"/>
  <c r="S1510"/>
  <c r="L1510"/>
  <c r="M1510" s="1"/>
  <c r="S1509"/>
  <c r="S1508"/>
  <c r="L1508"/>
  <c r="M1508" s="1"/>
  <c r="S1507"/>
  <c r="S1506"/>
  <c r="L1506"/>
  <c r="M1506" s="1"/>
  <c r="S1505"/>
  <c r="S1504"/>
  <c r="F1504"/>
  <c r="L1504" s="1"/>
  <c r="M1504" s="1"/>
  <c r="S1503"/>
  <c r="L1503"/>
  <c r="M1503" s="1"/>
  <c r="G1503"/>
  <c r="S1502"/>
  <c r="S1501"/>
  <c r="L1501"/>
  <c r="M1501" s="1"/>
  <c r="S1500"/>
  <c r="L1500"/>
  <c r="M1500" s="1"/>
  <c r="S1499"/>
  <c r="S1498"/>
  <c r="S1497"/>
  <c r="L1497"/>
  <c r="M1497" s="1"/>
  <c r="G1497"/>
  <c r="S1496"/>
  <c r="L1496"/>
  <c r="M1496" s="1"/>
  <c r="G1496"/>
  <c r="S1495"/>
  <c r="L1495"/>
  <c r="M1495" s="1"/>
  <c r="S1494"/>
  <c r="S1493"/>
  <c r="S1492"/>
  <c r="S1491"/>
  <c r="S1489"/>
  <c r="L1489"/>
  <c r="M1489" s="1"/>
  <c r="S1488"/>
  <c r="L1488"/>
  <c r="M1488" s="1"/>
  <c r="S1487"/>
  <c r="S1486"/>
  <c r="S1485"/>
  <c r="L1485"/>
  <c r="M1485" s="1"/>
  <c r="S1484"/>
  <c r="S1483"/>
  <c r="S1482"/>
  <c r="S1481"/>
  <c r="S1479"/>
  <c r="S1477"/>
  <c r="L1477"/>
  <c r="M1477" s="1"/>
  <c r="S1476"/>
  <c r="L1476"/>
  <c r="M1476" s="1"/>
  <c r="S1475"/>
  <c r="L1475"/>
  <c r="M1475" s="1"/>
  <c r="S1474"/>
  <c r="L1474"/>
  <c r="M1474" s="1"/>
  <c r="S1473"/>
  <c r="S1472"/>
  <c r="L1472"/>
  <c r="M1472" s="1"/>
  <c r="S1471"/>
  <c r="L1471"/>
  <c r="M1471" s="1"/>
  <c r="S1470"/>
  <c r="L1470"/>
  <c r="M1470" s="1"/>
  <c r="S1469"/>
  <c r="L1469"/>
  <c r="M1469" s="1"/>
  <c r="S1468"/>
  <c r="L1468"/>
  <c r="M1468" s="1"/>
  <c r="S1467"/>
  <c r="L1467"/>
  <c r="M1467" s="1"/>
  <c r="S1466"/>
  <c r="L1466"/>
  <c r="M1466" s="1"/>
  <c r="S1465"/>
  <c r="S1464"/>
  <c r="L1464"/>
  <c r="M1464" s="1"/>
  <c r="G1464"/>
  <c r="S1463"/>
  <c r="L1463"/>
  <c r="M1463" s="1"/>
  <c r="G1463"/>
  <c r="S1462"/>
  <c r="L1462"/>
  <c r="M1462" s="1"/>
  <c r="G1462"/>
  <c r="S1461"/>
  <c r="L1461"/>
  <c r="M1461" s="1"/>
  <c r="G1461"/>
  <c r="S1460"/>
  <c r="L1460"/>
  <c r="M1460" s="1"/>
  <c r="G1460"/>
  <c r="S1459"/>
  <c r="L1459"/>
  <c r="M1459" s="1"/>
  <c r="G1459"/>
  <c r="S1458"/>
  <c r="S1457"/>
  <c r="L1457"/>
  <c r="M1457" s="1"/>
  <c r="S1456"/>
  <c r="L1456"/>
  <c r="M1456" s="1"/>
  <c r="S1455"/>
  <c r="S1454"/>
  <c r="S1453"/>
  <c r="S1451"/>
  <c r="S1450"/>
  <c r="S1448"/>
  <c r="L1448"/>
  <c r="M1448" s="1"/>
  <c r="S1447"/>
  <c r="S1446"/>
  <c r="S1445"/>
  <c r="S1444"/>
  <c r="S1442"/>
  <c r="L1442"/>
  <c r="M1442" s="1"/>
  <c r="S1441"/>
  <c r="S1440"/>
  <c r="S1439"/>
  <c r="S1438"/>
  <c r="S1436"/>
  <c r="L1436"/>
  <c r="M1436" s="1"/>
  <c r="S1435"/>
  <c r="S1434"/>
  <c r="S1433"/>
  <c r="S1432"/>
  <c r="S1430"/>
  <c r="L1430"/>
  <c r="M1430" s="1"/>
  <c r="S1429"/>
  <c r="S1428"/>
  <c r="L1428"/>
  <c r="M1428" s="1"/>
  <c r="S1427"/>
  <c r="S1426"/>
  <c r="L1426"/>
  <c r="M1426" s="1"/>
  <c r="G1426"/>
  <c r="S1425"/>
  <c r="S1424"/>
  <c r="L1424"/>
  <c r="M1424" s="1"/>
  <c r="S1423"/>
  <c r="S1422"/>
  <c r="L1422"/>
  <c r="M1422" s="1"/>
  <c r="S1421"/>
  <c r="S1420"/>
  <c r="S1419"/>
  <c r="L1419"/>
  <c r="M1419" s="1"/>
  <c r="S1418"/>
  <c r="L1418"/>
  <c r="M1418" s="1"/>
  <c r="S1417"/>
  <c r="S1416"/>
  <c r="L1416"/>
  <c r="M1416" s="1"/>
  <c r="S1415"/>
  <c r="S1414"/>
  <c r="S1413"/>
  <c r="S1412"/>
  <c r="S1410"/>
  <c r="L1410"/>
  <c r="M1410" s="1"/>
  <c r="S1409"/>
  <c r="S1408"/>
  <c r="L1408"/>
  <c r="M1408" s="1"/>
  <c r="S1407"/>
  <c r="L1407"/>
  <c r="M1407" s="1"/>
  <c r="S1406"/>
  <c r="S1405"/>
  <c r="L1405"/>
  <c r="M1405" s="1"/>
  <c r="S1404"/>
  <c r="L1404"/>
  <c r="M1404" s="1"/>
  <c r="S1403"/>
  <c r="S1402"/>
  <c r="S1401"/>
  <c r="L1401"/>
  <c r="M1401" s="1"/>
  <c r="S1400"/>
  <c r="S1399"/>
  <c r="S1398"/>
  <c r="S1397"/>
  <c r="S1396"/>
  <c r="S1394"/>
  <c r="S1392"/>
  <c r="L1392"/>
  <c r="M1392" s="1"/>
  <c r="S1391"/>
  <c r="S1390"/>
  <c r="S1388"/>
  <c r="L1388"/>
  <c r="M1388" s="1"/>
  <c r="S1387"/>
  <c r="S1386"/>
  <c r="S1385"/>
  <c r="S1384"/>
  <c r="S1382"/>
  <c r="L1382"/>
  <c r="M1382" s="1"/>
  <c r="S1381"/>
  <c r="S1380"/>
  <c r="S1379"/>
  <c r="S1378"/>
  <c r="S1376"/>
  <c r="L1376"/>
  <c r="M1376" s="1"/>
  <c r="S1375"/>
  <c r="S1374"/>
  <c r="S1373"/>
  <c r="S1372"/>
  <c r="S1370"/>
  <c r="L1370"/>
  <c r="M1370" s="1"/>
  <c r="S1369"/>
  <c r="S1368"/>
  <c r="S1367"/>
  <c r="L1367"/>
  <c r="M1367" s="1"/>
  <c r="S1366"/>
  <c r="L1366"/>
  <c r="M1366" s="1"/>
  <c r="S1365"/>
  <c r="S1364"/>
  <c r="S1363"/>
  <c r="S1362"/>
  <c r="S1360"/>
  <c r="L1360"/>
  <c r="M1360" s="1"/>
  <c r="S1359"/>
  <c r="S1358"/>
  <c r="L1358"/>
  <c r="M1358" s="1"/>
  <c r="S1357"/>
  <c r="S1356"/>
  <c r="L1356"/>
  <c r="M1356" s="1"/>
  <c r="G1356"/>
  <c r="S1355"/>
  <c r="S1354"/>
  <c r="S1353"/>
  <c r="L1353"/>
  <c r="M1353" s="1"/>
  <c r="S1352"/>
  <c r="S1351"/>
  <c r="L1351"/>
  <c r="M1351" s="1"/>
  <c r="S1350"/>
  <c r="S1349"/>
  <c r="S1348"/>
  <c r="L1348"/>
  <c r="M1348" s="1"/>
  <c r="S1347"/>
  <c r="S1346"/>
  <c r="S1345"/>
  <c r="S1344"/>
  <c r="S1342"/>
  <c r="L1342"/>
  <c r="M1342" s="1"/>
  <c r="S1341"/>
  <c r="L1341"/>
  <c r="M1341" s="1"/>
  <c r="S1340"/>
  <c r="S1339"/>
  <c r="L1339"/>
  <c r="M1339" s="1"/>
  <c r="S1338"/>
  <c r="S1337"/>
  <c r="S1336"/>
  <c r="L1336"/>
  <c r="M1336" s="1"/>
  <c r="S1335"/>
  <c r="S1334"/>
  <c r="S1333"/>
  <c r="S1332"/>
  <c r="S1331"/>
  <c r="S1330"/>
  <c r="S1327"/>
  <c r="L1327"/>
  <c r="M1327" s="1"/>
  <c r="S1326"/>
  <c r="L1326"/>
  <c r="M1326" s="1"/>
  <c r="S1325"/>
  <c r="L1325"/>
  <c r="M1325" s="1"/>
  <c r="S1324"/>
  <c r="S1323"/>
  <c r="L1323"/>
  <c r="M1323" s="1"/>
  <c r="S1322"/>
  <c r="S1321"/>
  <c r="L1321"/>
  <c r="M1321" s="1"/>
  <c r="S1320"/>
  <c r="L1320"/>
  <c r="M1320" s="1"/>
  <c r="S1319"/>
  <c r="L1319"/>
  <c r="M1319" s="1"/>
  <c r="S1318"/>
  <c r="S1317"/>
  <c r="L1317"/>
  <c r="M1317" s="1"/>
  <c r="S1316"/>
  <c r="L1316"/>
  <c r="M1316" s="1"/>
  <c r="S1315"/>
  <c r="L1315"/>
  <c r="M1315" s="1"/>
  <c r="S1314"/>
  <c r="L1314"/>
  <c r="M1314" s="1"/>
  <c r="S1313"/>
  <c r="L1313"/>
  <c r="M1313" s="1"/>
  <c r="S1312"/>
  <c r="L1312"/>
  <c r="M1312" s="1"/>
  <c r="S1311"/>
  <c r="L1311"/>
  <c r="M1311" s="1"/>
  <c r="S1310"/>
  <c r="S1309"/>
  <c r="L1309"/>
  <c r="M1309" s="1"/>
  <c r="S1308"/>
  <c r="L1308"/>
  <c r="M1308" s="1"/>
  <c r="S1307"/>
  <c r="S1306"/>
  <c r="S1305"/>
  <c r="S1304"/>
  <c r="S1303"/>
  <c r="S1300"/>
  <c r="L1300"/>
  <c r="M1300" s="1"/>
  <c r="S1299"/>
  <c r="S1298"/>
  <c r="S1296"/>
  <c r="L1296"/>
  <c r="M1296" s="1"/>
  <c r="S1295"/>
  <c r="S1294"/>
  <c r="S1293"/>
  <c r="S1292"/>
  <c r="S1290"/>
  <c r="L1290"/>
  <c r="M1290" s="1"/>
  <c r="S1289"/>
  <c r="S1288"/>
  <c r="S1287"/>
  <c r="L1287"/>
  <c r="M1287" s="1"/>
  <c r="S1286"/>
  <c r="S1285"/>
  <c r="S1284"/>
  <c r="S1283"/>
  <c r="S1281"/>
  <c r="L1281"/>
  <c r="M1281" s="1"/>
  <c r="S1280"/>
  <c r="S1279"/>
  <c r="L1279"/>
  <c r="M1279" s="1"/>
  <c r="S1278"/>
  <c r="S1277"/>
  <c r="S1276"/>
  <c r="S1274"/>
  <c r="L1274"/>
  <c r="M1274" s="1"/>
  <c r="S1273"/>
  <c r="S1272"/>
  <c r="L1272"/>
  <c r="M1272" s="1"/>
  <c r="S1271"/>
  <c r="S1270"/>
  <c r="L1270"/>
  <c r="M1270" s="1"/>
  <c r="S1269"/>
  <c r="L1269"/>
  <c r="M1269" s="1"/>
  <c r="S1268"/>
  <c r="S1267"/>
  <c r="L1267"/>
  <c r="M1267" s="1"/>
  <c r="G1267"/>
  <c r="S1266"/>
  <c r="L1266"/>
  <c r="M1266" s="1"/>
  <c r="S1265"/>
  <c r="S1264"/>
  <c r="L1264"/>
  <c r="M1264" s="1"/>
  <c r="S1263"/>
  <c r="S1262"/>
  <c r="S1261"/>
  <c r="L1261"/>
  <c r="M1261" s="1"/>
  <c r="S1260"/>
  <c r="L1260"/>
  <c r="M1260" s="1"/>
  <c r="S1259"/>
  <c r="S1258"/>
  <c r="L1258"/>
  <c r="M1258" s="1"/>
  <c r="S1257"/>
  <c r="L1257"/>
  <c r="M1257" s="1"/>
  <c r="S1256"/>
  <c r="S1255"/>
  <c r="L1255"/>
  <c r="M1255" s="1"/>
  <c r="S1254"/>
  <c r="S1253"/>
  <c r="S1252"/>
  <c r="S1251"/>
  <c r="S1249"/>
  <c r="L1249"/>
  <c r="M1249" s="1"/>
  <c r="S1248"/>
  <c r="L1248"/>
  <c r="M1248" s="1"/>
  <c r="S1247"/>
  <c r="S1246"/>
  <c r="L1246"/>
  <c r="M1246" s="1"/>
  <c r="S1245"/>
  <c r="S1244"/>
  <c r="L1244"/>
  <c r="M1244" s="1"/>
  <c r="S1243"/>
  <c r="S1242"/>
  <c r="S1241"/>
  <c r="L1241"/>
  <c r="M1241" s="1"/>
  <c r="S1240"/>
  <c r="S1239"/>
  <c r="L1239"/>
  <c r="M1239" s="1"/>
  <c r="S1238"/>
  <c r="L1238"/>
  <c r="M1238" s="1"/>
  <c r="S1237"/>
  <c r="L1237"/>
  <c r="M1237" s="1"/>
  <c r="S1236"/>
  <c r="L1236"/>
  <c r="M1236" s="1"/>
  <c r="S1235"/>
  <c r="S1234"/>
  <c r="S1233"/>
  <c r="S1232"/>
  <c r="S1230"/>
  <c r="S1227"/>
  <c r="L1227"/>
  <c r="M1227" s="1"/>
  <c r="S1226"/>
  <c r="L1226"/>
  <c r="M1226" s="1"/>
  <c r="S1225"/>
  <c r="L1225"/>
  <c r="M1225" s="1"/>
  <c r="S1224"/>
  <c r="S1223"/>
  <c r="L1223"/>
  <c r="M1223" s="1"/>
  <c r="S1222"/>
  <c r="S1221"/>
  <c r="L1221"/>
  <c r="M1221" s="1"/>
  <c r="S1220"/>
  <c r="L1220"/>
  <c r="M1220" s="1"/>
  <c r="S1219"/>
  <c r="L1219"/>
  <c r="M1219" s="1"/>
  <c r="S1218"/>
  <c r="L1218"/>
  <c r="M1218" s="1"/>
  <c r="S1217"/>
  <c r="S1216"/>
  <c r="L1216"/>
  <c r="M1216" s="1"/>
  <c r="G1216"/>
  <c r="S1215"/>
  <c r="L1215"/>
  <c r="M1215" s="1"/>
  <c r="G1215"/>
  <c r="S1214"/>
  <c r="L1214"/>
  <c r="M1214" s="1"/>
  <c r="G1214"/>
  <c r="S1213"/>
  <c r="L1213"/>
  <c r="M1213" s="1"/>
  <c r="G1213"/>
  <c r="S1212"/>
  <c r="L1212"/>
  <c r="M1212" s="1"/>
  <c r="G1212"/>
  <c r="S1211"/>
  <c r="L1211"/>
  <c r="M1211" s="1"/>
  <c r="G1211"/>
  <c r="S1210"/>
  <c r="L1210"/>
  <c r="M1210" s="1"/>
  <c r="G1210"/>
  <c r="S1209"/>
  <c r="L1209"/>
  <c r="M1209" s="1"/>
  <c r="S1208"/>
  <c r="S1207"/>
  <c r="L1207"/>
  <c r="M1207" s="1"/>
  <c r="S1206"/>
  <c r="L1206"/>
  <c r="M1206" s="1"/>
  <c r="S1205"/>
  <c r="L1205"/>
  <c r="M1205" s="1"/>
  <c r="S1204"/>
  <c r="L1204"/>
  <c r="M1204" s="1"/>
  <c r="S1203"/>
  <c r="S1202"/>
  <c r="S1201"/>
  <c r="S1200"/>
  <c r="S1199"/>
  <c r="S1196"/>
  <c r="L1196"/>
  <c r="M1196" s="1"/>
  <c r="S1195"/>
  <c r="S1194"/>
  <c r="S1192"/>
  <c r="L1192"/>
  <c r="M1192" s="1"/>
  <c r="S1191"/>
  <c r="S1190"/>
  <c r="S1189"/>
  <c r="S1187"/>
  <c r="L1187"/>
  <c r="M1187" s="1"/>
  <c r="S1186"/>
  <c r="S1185"/>
  <c r="S1184"/>
  <c r="L1184"/>
  <c r="M1184" s="1"/>
  <c r="S1183"/>
  <c r="S1182"/>
  <c r="S1181"/>
  <c r="S1179"/>
  <c r="L1179"/>
  <c r="M1179" s="1"/>
  <c r="S1178"/>
  <c r="S1177"/>
  <c r="L1177"/>
  <c r="M1177" s="1"/>
  <c r="S1176"/>
  <c r="S1175"/>
  <c r="S1174"/>
  <c r="S1172"/>
  <c r="L1172"/>
  <c r="M1172" s="1"/>
  <c r="S1171"/>
  <c r="L1171"/>
  <c r="M1171" s="1"/>
  <c r="S1170"/>
  <c r="S1169"/>
  <c r="S1168"/>
  <c r="S1167"/>
  <c r="S1166"/>
  <c r="S1164"/>
  <c r="L1164"/>
  <c r="M1164" s="1"/>
  <c r="S1163"/>
  <c r="S1162"/>
  <c r="L1162"/>
  <c r="M1162" s="1"/>
  <c r="S1161"/>
  <c r="L1161"/>
  <c r="M1161" s="1"/>
  <c r="S1160"/>
  <c r="S1159"/>
  <c r="L1159"/>
  <c r="M1159" s="1"/>
  <c r="G1159"/>
  <c r="S1158"/>
  <c r="S1157"/>
  <c r="S1156"/>
  <c r="L1156"/>
  <c r="M1156" s="1"/>
  <c r="S1155"/>
  <c r="L1155"/>
  <c r="M1155" s="1"/>
  <c r="S1154"/>
  <c r="S1153"/>
  <c r="L1153"/>
  <c r="M1153" s="1"/>
  <c r="S1152"/>
  <c r="S1151"/>
  <c r="S1150"/>
  <c r="S1149"/>
  <c r="S1147"/>
  <c r="L1147"/>
  <c r="M1147" s="1"/>
  <c r="S1146"/>
  <c r="L1146"/>
  <c r="M1146" s="1"/>
  <c r="S1145"/>
  <c r="S1144"/>
  <c r="L1144"/>
  <c r="M1144" s="1"/>
  <c r="S1143"/>
  <c r="S1142"/>
  <c r="S1141"/>
  <c r="L1141"/>
  <c r="M1141" s="1"/>
  <c r="S1140"/>
  <c r="S1139"/>
  <c r="S1138"/>
  <c r="S1137"/>
  <c r="S1136"/>
  <c r="S1134"/>
  <c r="S1132"/>
  <c r="F1132"/>
  <c r="L1132" s="1"/>
  <c r="M1132" s="1"/>
  <c r="S1131"/>
  <c r="S1130"/>
  <c r="S1128"/>
  <c r="L1128"/>
  <c r="M1128" s="1"/>
  <c r="S1127"/>
  <c r="S1126"/>
  <c r="S1125"/>
  <c r="S1123"/>
  <c r="L1123"/>
  <c r="M1123" s="1"/>
  <c r="S1122"/>
  <c r="S1121"/>
  <c r="S1120"/>
  <c r="L1120"/>
  <c r="M1120" s="1"/>
  <c r="S1119"/>
  <c r="S1118"/>
  <c r="S1117"/>
  <c r="S1116"/>
  <c r="S1114"/>
  <c r="L1114"/>
  <c r="M1114" s="1"/>
  <c r="S1113"/>
  <c r="S1112"/>
  <c r="S1111"/>
  <c r="S1110"/>
  <c r="S1108"/>
  <c r="L1108"/>
  <c r="M1108" s="1"/>
  <c r="S1107"/>
  <c r="S1106"/>
  <c r="L1106"/>
  <c r="M1106" s="1"/>
  <c r="S1105"/>
  <c r="S1104"/>
  <c r="L1104"/>
  <c r="M1104" s="1"/>
  <c r="S1103"/>
  <c r="L1103"/>
  <c r="M1103" s="1"/>
  <c r="S1102"/>
  <c r="S1101"/>
  <c r="L1101"/>
  <c r="M1101" s="1"/>
  <c r="G1101"/>
  <c r="S1100"/>
  <c r="L1100"/>
  <c r="M1100" s="1"/>
  <c r="S1099"/>
  <c r="S1098"/>
  <c r="L1098"/>
  <c r="M1098" s="1"/>
  <c r="S1097"/>
  <c r="S1096"/>
  <c r="S1095"/>
  <c r="L1095"/>
  <c r="M1095" s="1"/>
  <c r="S1094"/>
  <c r="L1094"/>
  <c r="M1094" s="1"/>
  <c r="S1093"/>
  <c r="S1092"/>
  <c r="L1092"/>
  <c r="M1092" s="1"/>
  <c r="S1091"/>
  <c r="S1090"/>
  <c r="L1090"/>
  <c r="M1090" s="1"/>
  <c r="S1089"/>
  <c r="S1088"/>
  <c r="S1087"/>
  <c r="S1086"/>
  <c r="S1084"/>
  <c r="L1084"/>
  <c r="M1084" s="1"/>
  <c r="S1083"/>
  <c r="S1082"/>
  <c r="S1080"/>
  <c r="L1080"/>
  <c r="M1080" s="1"/>
  <c r="S1079"/>
  <c r="L1078"/>
  <c r="H1078"/>
  <c r="J1078" s="1"/>
  <c r="E1078"/>
  <c r="D1078"/>
  <c r="S1078" s="1"/>
  <c r="C1078"/>
  <c r="B1078"/>
  <c r="L1077"/>
  <c r="H1077"/>
  <c r="J1077" s="1"/>
  <c r="E1077"/>
  <c r="D1077"/>
  <c r="S1077" s="1"/>
  <c r="C1077"/>
  <c r="B1077"/>
  <c r="S1076"/>
  <c r="L1075"/>
  <c r="H1075"/>
  <c r="J1075" s="1"/>
  <c r="E1075"/>
  <c r="D1075"/>
  <c r="S1075" s="1"/>
  <c r="C1075"/>
  <c r="B1075"/>
  <c r="L1074"/>
  <c r="H1074"/>
  <c r="J1074" s="1"/>
  <c r="E1074"/>
  <c r="D1074"/>
  <c r="S1074" s="1"/>
  <c r="C1074"/>
  <c r="B1074"/>
  <c r="L1073"/>
  <c r="H1073"/>
  <c r="J1073" s="1"/>
  <c r="E1073"/>
  <c r="D1073"/>
  <c r="S1073" s="1"/>
  <c r="C1073"/>
  <c r="B1073"/>
  <c r="L1072"/>
  <c r="H1072"/>
  <c r="J1072" s="1"/>
  <c r="E1072"/>
  <c r="D1072"/>
  <c r="S1072" s="1"/>
  <c r="C1072"/>
  <c r="B1072"/>
  <c r="S1071"/>
  <c r="S1070"/>
  <c r="L1070"/>
  <c r="M1070" s="1"/>
  <c r="S1069"/>
  <c r="L1069"/>
  <c r="M1069" s="1"/>
  <c r="S1068"/>
  <c r="L1068"/>
  <c r="M1068" s="1"/>
  <c r="S1067"/>
  <c r="L1067"/>
  <c r="M1067" s="1"/>
  <c r="S1066"/>
  <c r="L1066"/>
  <c r="M1066" s="1"/>
  <c r="S1065"/>
  <c r="L1065"/>
  <c r="M1065" s="1"/>
  <c r="S1064"/>
  <c r="L1064"/>
  <c r="M1064" s="1"/>
  <c r="S1063"/>
  <c r="L1063"/>
  <c r="M1063" s="1"/>
  <c r="S1062"/>
  <c r="L1062"/>
  <c r="M1062" s="1"/>
  <c r="S1061"/>
  <c r="S1060"/>
  <c r="S1059"/>
  <c r="S1058"/>
  <c r="S1057"/>
  <c r="S1056"/>
  <c r="L1053"/>
  <c r="M1053" s="1"/>
  <c r="H1053"/>
  <c r="J1053" s="1"/>
  <c r="E1053"/>
  <c r="D1053"/>
  <c r="S1053" s="1"/>
  <c r="C1053"/>
  <c r="B1053"/>
  <c r="S1052"/>
  <c r="S1051"/>
  <c r="S1050"/>
  <c r="L1048"/>
  <c r="H1048"/>
  <c r="J1048" s="1"/>
  <c r="E1048"/>
  <c r="D1048"/>
  <c r="S1048" s="1"/>
  <c r="C1048"/>
  <c r="B1048"/>
  <c r="S1047"/>
  <c r="S1046"/>
  <c r="S1045"/>
  <c r="S1044"/>
  <c r="L1042"/>
  <c r="H1042"/>
  <c r="J1042" s="1"/>
  <c r="E1042"/>
  <c r="D1042"/>
  <c r="S1042" s="1"/>
  <c r="C1042"/>
  <c r="B1042"/>
  <c r="S1041"/>
  <c r="L1040"/>
  <c r="H1040"/>
  <c r="J1040" s="1"/>
  <c r="E1040"/>
  <c r="D1040"/>
  <c r="S1040" s="1"/>
  <c r="C1040"/>
  <c r="B1040"/>
  <c r="S1039"/>
  <c r="L1038"/>
  <c r="H1038"/>
  <c r="J1038" s="1"/>
  <c r="E1038"/>
  <c r="D1038"/>
  <c r="S1038" s="1"/>
  <c r="C1038"/>
  <c r="B1038"/>
  <c r="S1037"/>
  <c r="L1036"/>
  <c r="M1036" s="1"/>
  <c r="H1036"/>
  <c r="J1036" s="1"/>
  <c r="G1036"/>
  <c r="E1036"/>
  <c r="D1036"/>
  <c r="S1036" s="1"/>
  <c r="C1036"/>
  <c r="B1036"/>
  <c r="L1035"/>
  <c r="H1035"/>
  <c r="J1035" s="1"/>
  <c r="E1035"/>
  <c r="D1035"/>
  <c r="S1035" s="1"/>
  <c r="C1035"/>
  <c r="B1035"/>
  <c r="S1034"/>
  <c r="L1033"/>
  <c r="H1033"/>
  <c r="J1033" s="1"/>
  <c r="E1033"/>
  <c r="D1033"/>
  <c r="S1033" s="1"/>
  <c r="C1033"/>
  <c r="B1033"/>
  <c r="S1032"/>
  <c r="S1031"/>
  <c r="L1030"/>
  <c r="H1030"/>
  <c r="J1030" s="1"/>
  <c r="E1030"/>
  <c r="D1030"/>
  <c r="S1030" s="1"/>
  <c r="C1030"/>
  <c r="B1030"/>
  <c r="L1029"/>
  <c r="M1029" s="1"/>
  <c r="H1029"/>
  <c r="J1029" s="1"/>
  <c r="E1029"/>
  <c r="D1029"/>
  <c r="S1029" s="1"/>
  <c r="C1029"/>
  <c r="B1029"/>
  <c r="S1028"/>
  <c r="S1027"/>
  <c r="L1026"/>
  <c r="M1026" s="1"/>
  <c r="H1026"/>
  <c r="J1026" s="1"/>
  <c r="E1026"/>
  <c r="D1026"/>
  <c r="S1026" s="1"/>
  <c r="C1026"/>
  <c r="B1026"/>
  <c r="S1025"/>
  <c r="S1024"/>
  <c r="S1023"/>
  <c r="S1022"/>
  <c r="L1020"/>
  <c r="H1020"/>
  <c r="J1020" s="1"/>
  <c r="E1020"/>
  <c r="D1020"/>
  <c r="S1020" s="1"/>
  <c r="C1020"/>
  <c r="B1020"/>
  <c r="L1019"/>
  <c r="M1019" s="1"/>
  <c r="H1019"/>
  <c r="J1019" s="1"/>
  <c r="E1019"/>
  <c r="D1019"/>
  <c r="S1019" s="1"/>
  <c r="C1019"/>
  <c r="B1019"/>
  <c r="S1018"/>
  <c r="L1017"/>
  <c r="H1017"/>
  <c r="J1017" s="1"/>
  <c r="E1017"/>
  <c r="D1017"/>
  <c r="S1017" s="1"/>
  <c r="C1017"/>
  <c r="B1017"/>
  <c r="S1016"/>
  <c r="L1015"/>
  <c r="H1015"/>
  <c r="J1015" s="1"/>
  <c r="E1015"/>
  <c r="D1015"/>
  <c r="S1015" s="1"/>
  <c r="C1015"/>
  <c r="B1015"/>
  <c r="S1014"/>
  <c r="S1013"/>
  <c r="L1012"/>
  <c r="H1012"/>
  <c r="J1012" s="1"/>
  <c r="E1012"/>
  <c r="D1012"/>
  <c r="S1012" s="1"/>
  <c r="C1012"/>
  <c r="B1012"/>
  <c r="L1011"/>
  <c r="M1011" s="1"/>
  <c r="H1011"/>
  <c r="J1011" s="1"/>
  <c r="E1011"/>
  <c r="D1011"/>
  <c r="S1011" s="1"/>
  <c r="C1011"/>
  <c r="B1011"/>
  <c r="L1010"/>
  <c r="H1010"/>
  <c r="J1010" s="1"/>
  <c r="E1010"/>
  <c r="D1010"/>
  <c r="S1010" s="1"/>
  <c r="C1010"/>
  <c r="B1010"/>
  <c r="S1009"/>
  <c r="S1008"/>
  <c r="S1007"/>
  <c r="S1006"/>
  <c r="S1005"/>
  <c r="S1004"/>
  <c r="S1003"/>
  <c r="L1000"/>
  <c r="H1000"/>
  <c r="J1000" s="1"/>
  <c r="E1000"/>
  <c r="D1000"/>
  <c r="S1000" s="1"/>
  <c r="C1000"/>
  <c r="B1000"/>
  <c r="L999"/>
  <c r="H999"/>
  <c r="J999" s="1"/>
  <c r="E999"/>
  <c r="D999"/>
  <c r="S999" s="1"/>
  <c r="C999"/>
  <c r="B999"/>
  <c r="S998"/>
  <c r="S997"/>
  <c r="L997"/>
  <c r="M997" s="1"/>
  <c r="S996"/>
  <c r="L996"/>
  <c r="M996" s="1"/>
  <c r="L995"/>
  <c r="M995" s="1"/>
  <c r="H995"/>
  <c r="J995" s="1"/>
  <c r="E995"/>
  <c r="D995"/>
  <c r="S995" s="1"/>
  <c r="C995"/>
  <c r="B995"/>
  <c r="L994"/>
  <c r="H994"/>
  <c r="J994" s="1"/>
  <c r="E994"/>
  <c r="D994"/>
  <c r="S994" s="1"/>
  <c r="C994"/>
  <c r="B994"/>
  <c r="L993"/>
  <c r="M993" s="1"/>
  <c r="H993"/>
  <c r="J993" s="1"/>
  <c r="E993"/>
  <c r="D993"/>
  <c r="S993" s="1"/>
  <c r="C993"/>
  <c r="B993"/>
  <c r="S992"/>
  <c r="S991"/>
  <c r="L991"/>
  <c r="M991" s="1"/>
  <c r="S990"/>
  <c r="L990"/>
  <c r="M990" s="1"/>
  <c r="S989"/>
  <c r="S988"/>
  <c r="S987"/>
  <c r="S986"/>
  <c r="S985"/>
  <c r="S982"/>
  <c r="L982"/>
  <c r="M982" s="1"/>
  <c r="S981"/>
  <c r="S980"/>
  <c r="S979"/>
  <c r="L977"/>
  <c r="H977"/>
  <c r="J977" s="1"/>
  <c r="E977"/>
  <c r="D977"/>
  <c r="S977" s="1"/>
  <c r="C977"/>
  <c r="B977"/>
  <c r="S976"/>
  <c r="S975"/>
  <c r="S974"/>
  <c r="L972"/>
  <c r="H972"/>
  <c r="J972" s="1"/>
  <c r="E972"/>
  <c r="D972"/>
  <c r="S972" s="1"/>
  <c r="C972"/>
  <c r="B972"/>
  <c r="S971"/>
  <c r="S970"/>
  <c r="L969"/>
  <c r="H969"/>
  <c r="J969" s="1"/>
  <c r="E969"/>
  <c r="D969"/>
  <c r="S969" s="1"/>
  <c r="C969"/>
  <c r="B969"/>
  <c r="L968"/>
  <c r="H968"/>
  <c r="J968" s="1"/>
  <c r="G968"/>
  <c r="E968"/>
  <c r="D968"/>
  <c r="S968" s="1"/>
  <c r="C968"/>
  <c r="B968"/>
  <c r="S967"/>
  <c r="S966"/>
  <c r="L965"/>
  <c r="H965"/>
  <c r="J965" s="1"/>
  <c r="E965"/>
  <c r="D965"/>
  <c r="S965" s="1"/>
  <c r="C965"/>
  <c r="B965"/>
  <c r="S964"/>
  <c r="S963"/>
  <c r="L962"/>
  <c r="H962"/>
  <c r="J962" s="1"/>
  <c r="E962"/>
  <c r="D962"/>
  <c r="S962" s="1"/>
  <c r="C962"/>
  <c r="B962"/>
  <c r="S961"/>
  <c r="S960"/>
  <c r="L959"/>
  <c r="H959"/>
  <c r="J959" s="1"/>
  <c r="E959"/>
  <c r="D959"/>
  <c r="S959" s="1"/>
  <c r="C959"/>
  <c r="B959"/>
  <c r="S958"/>
  <c r="S957"/>
  <c r="S956"/>
  <c r="L954"/>
  <c r="H954"/>
  <c r="J954" s="1"/>
  <c r="E954"/>
  <c r="D954"/>
  <c r="S954" s="1"/>
  <c r="C954"/>
  <c r="B954"/>
  <c r="L953"/>
  <c r="M953" s="1"/>
  <c r="H953"/>
  <c r="J953" s="1"/>
  <c r="E953"/>
  <c r="D953"/>
  <c r="S953" s="1"/>
  <c r="C953"/>
  <c r="B953"/>
  <c r="S952"/>
  <c r="L951"/>
  <c r="H951"/>
  <c r="J951" s="1"/>
  <c r="E951"/>
  <c r="D951"/>
  <c r="S951" s="1"/>
  <c r="C951"/>
  <c r="B951"/>
  <c r="S950"/>
  <c r="L949"/>
  <c r="H949"/>
  <c r="J949" s="1"/>
  <c r="E949"/>
  <c r="D949"/>
  <c r="S949" s="1"/>
  <c r="C949"/>
  <c r="B949"/>
  <c r="L948"/>
  <c r="M948" s="1"/>
  <c r="H948"/>
  <c r="J948" s="1"/>
  <c r="E948"/>
  <c r="D948"/>
  <c r="S948" s="1"/>
  <c r="C948"/>
  <c r="B948"/>
  <c r="S947"/>
  <c r="S946"/>
  <c r="L945"/>
  <c r="M945" s="1"/>
  <c r="H945"/>
  <c r="J945" s="1"/>
  <c r="E945"/>
  <c r="D945"/>
  <c r="S945" s="1"/>
  <c r="C945"/>
  <c r="B945"/>
  <c r="S944"/>
  <c r="S943"/>
  <c r="S942"/>
  <c r="S941"/>
  <c r="S940"/>
  <c r="S939"/>
  <c r="S938"/>
  <c r="L935"/>
  <c r="J935"/>
  <c r="H935"/>
  <c r="E935"/>
  <c r="D935"/>
  <c r="S935" s="1"/>
  <c r="C935"/>
  <c r="B935"/>
  <c r="L934"/>
  <c r="M934" s="1"/>
  <c r="J934"/>
  <c r="H934"/>
  <c r="E934"/>
  <c r="D934"/>
  <c r="S934" s="1"/>
  <c r="C934"/>
  <c r="B934"/>
  <c r="L933"/>
  <c r="J933"/>
  <c r="H933"/>
  <c r="E933"/>
  <c r="D933"/>
  <c r="S933" s="1"/>
  <c r="C933"/>
  <c r="B933"/>
  <c r="L932"/>
  <c r="H932"/>
  <c r="J932" s="1"/>
  <c r="E932"/>
  <c r="D932"/>
  <c r="S932" s="1"/>
  <c r="C932"/>
  <c r="B932"/>
  <c r="S931"/>
  <c r="L931"/>
  <c r="L930"/>
  <c r="H930"/>
  <c r="J930" s="1"/>
  <c r="E930"/>
  <c r="D930"/>
  <c r="S930" s="1"/>
  <c r="C930"/>
  <c r="B930"/>
  <c r="S929"/>
  <c r="S928"/>
  <c r="L928"/>
  <c r="M928" s="1"/>
  <c r="S927"/>
  <c r="L927"/>
  <c r="M927" s="1"/>
  <c r="L926"/>
  <c r="J926"/>
  <c r="H926"/>
  <c r="E926"/>
  <c r="D926"/>
  <c r="S926" s="1"/>
  <c r="C926"/>
  <c r="B926"/>
  <c r="L925"/>
  <c r="M925" s="1"/>
  <c r="H925"/>
  <c r="J925" s="1"/>
  <c r="E925"/>
  <c r="D925"/>
  <c r="S925" s="1"/>
  <c r="C925"/>
  <c r="B925"/>
  <c r="S924"/>
  <c r="L923"/>
  <c r="H923"/>
  <c r="J923" s="1"/>
  <c r="E923"/>
  <c r="D923"/>
  <c r="S923" s="1"/>
  <c r="C923"/>
  <c r="B923"/>
  <c r="L922"/>
  <c r="H922"/>
  <c r="J922" s="1"/>
  <c r="E922"/>
  <c r="D922"/>
  <c r="S922" s="1"/>
  <c r="C922"/>
  <c r="B922"/>
  <c r="L921"/>
  <c r="H921"/>
  <c r="J921" s="1"/>
  <c r="E921"/>
  <c r="D921"/>
  <c r="S921" s="1"/>
  <c r="C921"/>
  <c r="B921"/>
  <c r="L920"/>
  <c r="H920"/>
  <c r="J920" s="1"/>
  <c r="E920"/>
  <c r="D920"/>
  <c r="S920" s="1"/>
  <c r="C920"/>
  <c r="B920"/>
  <c r="L919"/>
  <c r="H919"/>
  <c r="J919" s="1"/>
  <c r="E919"/>
  <c r="D919"/>
  <c r="S919" s="1"/>
  <c r="C919"/>
  <c r="B919"/>
  <c r="L918"/>
  <c r="H918"/>
  <c r="J918" s="1"/>
  <c r="E918"/>
  <c r="D918"/>
  <c r="S918" s="1"/>
  <c r="C918"/>
  <c r="B918"/>
  <c r="L917"/>
  <c r="H917"/>
  <c r="J917" s="1"/>
  <c r="E917"/>
  <c r="D917"/>
  <c r="S917" s="1"/>
  <c r="C917"/>
  <c r="B917"/>
  <c r="L916"/>
  <c r="G916"/>
  <c r="D916"/>
  <c r="S916" s="1"/>
  <c r="C916"/>
  <c r="B916"/>
  <c r="L915"/>
  <c r="G915"/>
  <c r="D915"/>
  <c r="S915" s="1"/>
  <c r="C915"/>
  <c r="B915"/>
  <c r="L914"/>
  <c r="H914"/>
  <c r="J914" s="1"/>
  <c r="E914"/>
  <c r="D914"/>
  <c r="S914" s="1"/>
  <c r="C914"/>
  <c r="B914"/>
  <c r="L913"/>
  <c r="H913"/>
  <c r="J913" s="1"/>
  <c r="G913"/>
  <c r="E913"/>
  <c r="D913"/>
  <c r="S913" s="1"/>
  <c r="C913"/>
  <c r="B913"/>
  <c r="L912"/>
  <c r="M912" s="1"/>
  <c r="H912"/>
  <c r="J912" s="1"/>
  <c r="G912"/>
  <c r="E912"/>
  <c r="D912"/>
  <c r="S912" s="1"/>
  <c r="C912"/>
  <c r="B912"/>
  <c r="L911"/>
  <c r="H911"/>
  <c r="J911" s="1"/>
  <c r="G911"/>
  <c r="E911"/>
  <c r="D911"/>
  <c r="S911" s="1"/>
  <c r="C911"/>
  <c r="B911"/>
  <c r="L910"/>
  <c r="H910"/>
  <c r="J910" s="1"/>
  <c r="G910"/>
  <c r="E910"/>
  <c r="D910"/>
  <c r="S910" s="1"/>
  <c r="C910"/>
  <c r="B910"/>
  <c r="L909"/>
  <c r="H909"/>
  <c r="J909" s="1"/>
  <c r="G909"/>
  <c r="E909"/>
  <c r="D909"/>
  <c r="S909" s="1"/>
  <c r="C909"/>
  <c r="B909"/>
  <c r="L908"/>
  <c r="M908" s="1"/>
  <c r="H908"/>
  <c r="J908" s="1"/>
  <c r="G908"/>
  <c r="E908"/>
  <c r="D908"/>
  <c r="S908" s="1"/>
  <c r="C908"/>
  <c r="B908"/>
  <c r="L907"/>
  <c r="H907"/>
  <c r="J907" s="1"/>
  <c r="G907"/>
  <c r="E907"/>
  <c r="D907"/>
  <c r="S907" s="1"/>
  <c r="C907"/>
  <c r="B907"/>
  <c r="S906"/>
  <c r="S905"/>
  <c r="L905"/>
  <c r="M905" s="1"/>
  <c r="S904"/>
  <c r="S903"/>
  <c r="S902"/>
  <c r="S901"/>
  <c r="S900"/>
  <c r="S897"/>
  <c r="L897"/>
  <c r="M897" s="1"/>
  <c r="S896"/>
  <c r="S895"/>
  <c r="L893"/>
  <c r="H893"/>
  <c r="J893" s="1"/>
  <c r="E893"/>
  <c r="D893"/>
  <c r="S893" s="1"/>
  <c r="C893"/>
  <c r="B893"/>
  <c r="S892"/>
  <c r="S891"/>
  <c r="S890"/>
  <c r="L888"/>
  <c r="H888"/>
  <c r="J888" s="1"/>
  <c r="E888"/>
  <c r="D888"/>
  <c r="S888" s="1"/>
  <c r="C888"/>
  <c r="B888"/>
  <c r="S887"/>
  <c r="S886"/>
  <c r="L885"/>
  <c r="H885"/>
  <c r="J885" s="1"/>
  <c r="G885"/>
  <c r="E885"/>
  <c r="D885"/>
  <c r="S885" s="1"/>
  <c r="C885"/>
  <c r="B885"/>
  <c r="S884"/>
  <c r="S883"/>
  <c r="L882"/>
  <c r="M882" s="1"/>
  <c r="H882"/>
  <c r="J882" s="1"/>
  <c r="E882"/>
  <c r="D882"/>
  <c r="S882" s="1"/>
  <c r="C882"/>
  <c r="B882"/>
  <c r="S881"/>
  <c r="S880"/>
  <c r="S879"/>
  <c r="S878"/>
  <c r="S877"/>
  <c r="L874"/>
  <c r="H874"/>
  <c r="J874" s="1"/>
  <c r="E874"/>
  <c r="D874"/>
  <c r="S874" s="1"/>
  <c r="C874"/>
  <c r="B874"/>
  <c r="S873"/>
  <c r="S872"/>
  <c r="S871"/>
  <c r="L869"/>
  <c r="M869" s="1"/>
  <c r="H869"/>
  <c r="J869" s="1"/>
  <c r="E869"/>
  <c r="D869"/>
  <c r="S869" s="1"/>
  <c r="C869"/>
  <c r="B869"/>
  <c r="L868"/>
  <c r="H868"/>
  <c r="J868" s="1"/>
  <c r="E868"/>
  <c r="D868"/>
  <c r="S868" s="1"/>
  <c r="C868"/>
  <c r="B868"/>
  <c r="S867"/>
  <c r="S866"/>
  <c r="L865"/>
  <c r="H865"/>
  <c r="J865" s="1"/>
  <c r="E865"/>
  <c r="D865"/>
  <c r="S865" s="1"/>
  <c r="C865"/>
  <c r="B865"/>
  <c r="S864"/>
  <c r="S863"/>
  <c r="S862"/>
  <c r="L860"/>
  <c r="H860"/>
  <c r="J860" s="1"/>
  <c r="E860"/>
  <c r="D860"/>
  <c r="S860" s="1"/>
  <c r="C860"/>
  <c r="B860"/>
  <c r="S859"/>
  <c r="S858"/>
  <c r="S857"/>
  <c r="L855"/>
  <c r="M855" s="1"/>
  <c r="H855"/>
  <c r="J855" s="1"/>
  <c r="E855"/>
  <c r="D855"/>
  <c r="S855" s="1"/>
  <c r="C855"/>
  <c r="B855"/>
  <c r="S854"/>
  <c r="L853"/>
  <c r="H853"/>
  <c r="J853" s="1"/>
  <c r="E853"/>
  <c r="D853"/>
  <c r="S853" s="1"/>
  <c r="C853"/>
  <c r="B853"/>
  <c r="S852"/>
  <c r="S851"/>
  <c r="S850"/>
  <c r="S849"/>
  <c r="L847"/>
  <c r="H847"/>
  <c r="J847" s="1"/>
  <c r="E847"/>
  <c r="D847"/>
  <c r="S847" s="1"/>
  <c r="C847"/>
  <c r="B847"/>
  <c r="S846"/>
  <c r="S845"/>
  <c r="L844"/>
  <c r="H844"/>
  <c r="J844" s="1"/>
  <c r="E844"/>
  <c r="D844"/>
  <c r="S844" s="1"/>
  <c r="C844"/>
  <c r="B844"/>
  <c r="S843"/>
  <c r="S842"/>
  <c r="S841"/>
  <c r="L839"/>
  <c r="H839"/>
  <c r="J839" s="1"/>
  <c r="E839"/>
  <c r="D839"/>
  <c r="S839" s="1"/>
  <c r="C839"/>
  <c r="B839"/>
  <c r="S838"/>
  <c r="L837"/>
  <c r="H837"/>
  <c r="J837" s="1"/>
  <c r="D837"/>
  <c r="S837" s="1"/>
  <c r="C837"/>
  <c r="B837"/>
  <c r="S836"/>
  <c r="S835"/>
  <c r="S834"/>
  <c r="L832"/>
  <c r="H832"/>
  <c r="J832" s="1"/>
  <c r="E832"/>
  <c r="D832"/>
  <c r="S832" s="1"/>
  <c r="C832"/>
  <c r="B832"/>
  <c r="S831"/>
  <c r="S830"/>
  <c r="S829"/>
  <c r="S828"/>
  <c r="L826"/>
  <c r="H826"/>
  <c r="J826" s="1"/>
  <c r="E826"/>
  <c r="D826"/>
  <c r="S826" s="1"/>
  <c r="C826"/>
  <c r="B826"/>
  <c r="S825"/>
  <c r="S824"/>
  <c r="S823"/>
  <c r="L821"/>
  <c r="M821" s="1"/>
  <c r="H821"/>
  <c r="J821" s="1"/>
  <c r="E821"/>
  <c r="D821"/>
  <c r="S821" s="1"/>
  <c r="C821"/>
  <c r="B821"/>
  <c r="S820"/>
  <c r="L819"/>
  <c r="H819"/>
  <c r="J819" s="1"/>
  <c r="E819"/>
  <c r="D819"/>
  <c r="S819" s="1"/>
  <c r="C819"/>
  <c r="B819"/>
  <c r="L818"/>
  <c r="H818"/>
  <c r="J818" s="1"/>
  <c r="E818"/>
  <c r="D818"/>
  <c r="S818" s="1"/>
  <c r="C818"/>
  <c r="B818"/>
  <c r="S817"/>
  <c r="S816"/>
  <c r="S815"/>
  <c r="S814"/>
  <c r="L812"/>
  <c r="H812"/>
  <c r="J812" s="1"/>
  <c r="E812"/>
  <c r="D812"/>
  <c r="S812" s="1"/>
  <c r="C812"/>
  <c r="B812"/>
  <c r="S811"/>
  <c r="S810"/>
  <c r="L809"/>
  <c r="H809"/>
  <c r="J809" s="1"/>
  <c r="E809"/>
  <c r="D809"/>
  <c r="S809" s="1"/>
  <c r="C809"/>
  <c r="B809"/>
  <c r="L808"/>
  <c r="H808"/>
  <c r="J808" s="1"/>
  <c r="E808"/>
  <c r="D808"/>
  <c r="S808" s="1"/>
  <c r="C808"/>
  <c r="B808"/>
  <c r="S807"/>
  <c r="L806"/>
  <c r="H806"/>
  <c r="J806" s="1"/>
  <c r="E806"/>
  <c r="D806"/>
  <c r="S806" s="1"/>
  <c r="C806"/>
  <c r="B806"/>
  <c r="L805"/>
  <c r="H805"/>
  <c r="J805" s="1"/>
  <c r="E805"/>
  <c r="D805"/>
  <c r="S805" s="1"/>
  <c r="C805"/>
  <c r="B805"/>
  <c r="S804"/>
  <c r="S803"/>
  <c r="S802"/>
  <c r="L802"/>
  <c r="H802"/>
  <c r="J802" s="1"/>
  <c r="C802"/>
  <c r="B802"/>
  <c r="L801"/>
  <c r="H801"/>
  <c r="J801" s="1"/>
  <c r="G801"/>
  <c r="E801"/>
  <c r="D801"/>
  <c r="S801" s="1"/>
  <c r="C801"/>
  <c r="B801"/>
  <c r="S800"/>
  <c r="S799"/>
  <c r="L798"/>
  <c r="M798" s="1"/>
  <c r="H798"/>
  <c r="J798" s="1"/>
  <c r="E798"/>
  <c r="D798"/>
  <c r="S798" s="1"/>
  <c r="C798"/>
  <c r="B798"/>
  <c r="L797"/>
  <c r="H797"/>
  <c r="J797" s="1"/>
  <c r="E797"/>
  <c r="D797"/>
  <c r="S797" s="1"/>
  <c r="C797"/>
  <c r="B797"/>
  <c r="L796"/>
  <c r="M796" s="1"/>
  <c r="H796"/>
  <c r="J796" s="1"/>
  <c r="E796"/>
  <c r="D796"/>
  <c r="S796" s="1"/>
  <c r="C796"/>
  <c r="B796"/>
  <c r="S795"/>
  <c r="S794"/>
  <c r="L793"/>
  <c r="M793" s="1"/>
  <c r="H793"/>
  <c r="J793" s="1"/>
  <c r="E793"/>
  <c r="D793"/>
  <c r="S793" s="1"/>
  <c r="C793"/>
  <c r="B793"/>
  <c r="S792"/>
  <c r="S791"/>
  <c r="L790"/>
  <c r="M790" s="1"/>
  <c r="H790"/>
  <c r="J790" s="1"/>
  <c r="E790"/>
  <c r="D790"/>
  <c r="S790" s="1"/>
  <c r="C790"/>
  <c r="B790"/>
  <c r="S789"/>
  <c r="S788"/>
  <c r="S787"/>
  <c r="S786"/>
  <c r="L784"/>
  <c r="H784"/>
  <c r="J784" s="1"/>
  <c r="E784"/>
  <c r="D784"/>
  <c r="S784" s="1"/>
  <c r="C784"/>
  <c r="B784"/>
  <c r="L783"/>
  <c r="M783" s="1"/>
  <c r="H783"/>
  <c r="J783" s="1"/>
  <c r="E783"/>
  <c r="D783"/>
  <c r="S783" s="1"/>
  <c r="C783"/>
  <c r="B783"/>
  <c r="S782"/>
  <c r="H781"/>
  <c r="J781" s="1"/>
  <c r="F781"/>
  <c r="L781" s="1"/>
  <c r="E781"/>
  <c r="D781"/>
  <c r="S781" s="1"/>
  <c r="C781"/>
  <c r="B781"/>
  <c r="L780"/>
  <c r="H780"/>
  <c r="J780" s="1"/>
  <c r="E780"/>
  <c r="D780"/>
  <c r="S780" s="1"/>
  <c r="C780"/>
  <c r="B780"/>
  <c r="S779"/>
  <c r="L778"/>
  <c r="M778" s="1"/>
  <c r="H778"/>
  <c r="J778" s="1"/>
  <c r="E778"/>
  <c r="D778"/>
  <c r="S778" s="1"/>
  <c r="C778"/>
  <c r="B778"/>
  <c r="L777"/>
  <c r="H777"/>
  <c r="J777" s="1"/>
  <c r="E777"/>
  <c r="D777"/>
  <c r="S777" s="1"/>
  <c r="C777"/>
  <c r="B777"/>
  <c r="S776"/>
  <c r="L775"/>
  <c r="H775"/>
  <c r="J775" s="1"/>
  <c r="E775"/>
  <c r="D775"/>
  <c r="S775" s="1"/>
  <c r="C775"/>
  <c r="B775"/>
  <c r="S774"/>
  <c r="S773"/>
  <c r="S772"/>
  <c r="L772"/>
  <c r="M772" s="1"/>
  <c r="S771"/>
  <c r="L771"/>
  <c r="M771" s="1"/>
  <c r="H770"/>
  <c r="J770" s="1"/>
  <c r="E770"/>
  <c r="D770"/>
  <c r="S770" s="1"/>
  <c r="C770"/>
  <c r="B770"/>
  <c r="L769"/>
  <c r="H769"/>
  <c r="J769" s="1"/>
  <c r="E769"/>
  <c r="D769"/>
  <c r="S769" s="1"/>
  <c r="C769"/>
  <c r="B769"/>
  <c r="S768"/>
  <c r="S767"/>
  <c r="S766"/>
  <c r="S765"/>
  <c r="S764"/>
  <c r="S763"/>
  <c r="S762"/>
  <c r="L759"/>
  <c r="H759"/>
  <c r="J759" s="1"/>
  <c r="E759"/>
  <c r="D759"/>
  <c r="S759" s="1"/>
  <c r="C759"/>
  <c r="B759"/>
  <c r="L758"/>
  <c r="H758"/>
  <c r="J758" s="1"/>
  <c r="E758"/>
  <c r="D758"/>
  <c r="S758" s="1"/>
  <c r="C758"/>
  <c r="B758"/>
  <c r="L757"/>
  <c r="H757"/>
  <c r="J757" s="1"/>
  <c r="E757"/>
  <c r="D757"/>
  <c r="S757" s="1"/>
  <c r="C757"/>
  <c r="B757"/>
  <c r="L756"/>
  <c r="H756"/>
  <c r="J756" s="1"/>
  <c r="E756"/>
  <c r="D756"/>
  <c r="S756" s="1"/>
  <c r="C756"/>
  <c r="B756"/>
  <c r="S755"/>
  <c r="L754"/>
  <c r="H754"/>
  <c r="J754" s="1"/>
  <c r="E754"/>
  <c r="D754"/>
  <c r="S754" s="1"/>
  <c r="C754"/>
  <c r="B754"/>
  <c r="L753"/>
  <c r="H753"/>
  <c r="J753" s="1"/>
  <c r="E753"/>
  <c r="D753"/>
  <c r="S753" s="1"/>
  <c r="C753"/>
  <c r="B753"/>
  <c r="L752"/>
  <c r="H752"/>
  <c r="J752" s="1"/>
  <c r="E752"/>
  <c r="D752"/>
  <c r="S752" s="1"/>
  <c r="C752"/>
  <c r="B752"/>
  <c r="S751"/>
  <c r="S750"/>
  <c r="L750"/>
  <c r="M750" s="1"/>
  <c r="S749"/>
  <c r="L749"/>
  <c r="M749" s="1"/>
  <c r="S748"/>
  <c r="L748"/>
  <c r="M748" s="1"/>
  <c r="S747"/>
  <c r="L747"/>
  <c r="M747" s="1"/>
  <c r="L746"/>
  <c r="H746"/>
  <c r="J746" s="1"/>
  <c r="E746"/>
  <c r="D746"/>
  <c r="S746" s="1"/>
  <c r="C746"/>
  <c r="B746"/>
  <c r="L745"/>
  <c r="H745"/>
  <c r="J745" s="1"/>
  <c r="E745"/>
  <c r="D745"/>
  <c r="S745" s="1"/>
  <c r="C745"/>
  <c r="B745"/>
  <c r="S744"/>
  <c r="L743"/>
  <c r="H743"/>
  <c r="J743" s="1"/>
  <c r="G743"/>
  <c r="E743"/>
  <c r="D743"/>
  <c r="S743" s="1"/>
  <c r="C743"/>
  <c r="B743"/>
  <c r="L742"/>
  <c r="H742"/>
  <c r="J742" s="1"/>
  <c r="G742"/>
  <c r="E742"/>
  <c r="D742"/>
  <c r="S742" s="1"/>
  <c r="C742"/>
  <c r="B742"/>
  <c r="L741"/>
  <c r="H741"/>
  <c r="J741" s="1"/>
  <c r="E741"/>
  <c r="D741"/>
  <c r="S741" s="1"/>
  <c r="C741"/>
  <c r="B741"/>
  <c r="L740"/>
  <c r="G740"/>
  <c r="L739"/>
  <c r="G739"/>
  <c r="L738"/>
  <c r="H738"/>
  <c r="J738" s="1"/>
  <c r="G738"/>
  <c r="E738"/>
  <c r="D738"/>
  <c r="S738" s="1"/>
  <c r="C738"/>
  <c r="B738"/>
  <c r="L737"/>
  <c r="H737"/>
  <c r="J737" s="1"/>
  <c r="G737"/>
  <c r="E737"/>
  <c r="D737"/>
  <c r="S737" s="1"/>
  <c r="C737"/>
  <c r="B737"/>
  <c r="L736"/>
  <c r="H736"/>
  <c r="J736" s="1"/>
  <c r="G736"/>
  <c r="E736"/>
  <c r="D736"/>
  <c r="S736" s="1"/>
  <c r="C736"/>
  <c r="B736"/>
  <c r="L735"/>
  <c r="H735"/>
  <c r="J735" s="1"/>
  <c r="E735"/>
  <c r="D735"/>
  <c r="S735" s="1"/>
  <c r="C735"/>
  <c r="B735"/>
  <c r="L734"/>
  <c r="H734"/>
  <c r="J734" s="1"/>
  <c r="G734"/>
  <c r="E734"/>
  <c r="D734"/>
  <c r="S734" s="1"/>
  <c r="C734"/>
  <c r="B734"/>
  <c r="L733"/>
  <c r="H733"/>
  <c r="G733"/>
  <c r="E733"/>
  <c r="E739" s="1"/>
  <c r="D733"/>
  <c r="S733" s="1"/>
  <c r="C733"/>
  <c r="C739" s="1"/>
  <c r="B733"/>
  <c r="B739" s="1"/>
  <c r="L732"/>
  <c r="H732"/>
  <c r="E732"/>
  <c r="E740" s="1"/>
  <c r="D732"/>
  <c r="D740" s="1"/>
  <c r="S740" s="1"/>
  <c r="C732"/>
  <c r="C740" s="1"/>
  <c r="B732"/>
  <c r="B740" s="1"/>
  <c r="S731"/>
  <c r="S730"/>
  <c r="L730"/>
  <c r="M730" s="1"/>
  <c r="S729"/>
  <c r="L729"/>
  <c r="M729" s="1"/>
  <c r="S728"/>
  <c r="L728"/>
  <c r="M728" s="1"/>
  <c r="S727"/>
  <c r="S726"/>
  <c r="S725"/>
  <c r="S724"/>
  <c r="S723"/>
  <c r="S720"/>
  <c r="L720"/>
  <c r="M720" s="1"/>
  <c r="S719"/>
  <c r="L719"/>
  <c r="M719" s="1"/>
  <c r="S718"/>
  <c r="S717"/>
  <c r="L715"/>
  <c r="H715"/>
  <c r="J715" s="1"/>
  <c r="E715"/>
  <c r="D715"/>
  <c r="S715" s="1"/>
  <c r="C715"/>
  <c r="B715"/>
  <c r="S714"/>
  <c r="S713"/>
  <c r="S712"/>
  <c r="S711"/>
  <c r="L709"/>
  <c r="H709"/>
  <c r="J709" s="1"/>
  <c r="E709"/>
  <c r="D709"/>
  <c r="S709" s="1"/>
  <c r="C709"/>
  <c r="B709"/>
  <c r="S708"/>
  <c r="L707"/>
  <c r="H707"/>
  <c r="J707" s="1"/>
  <c r="E707"/>
  <c r="D707"/>
  <c r="S707" s="1"/>
  <c r="C707"/>
  <c r="B707"/>
  <c r="S706"/>
  <c r="S705"/>
  <c r="S704"/>
  <c r="S703"/>
  <c r="L701"/>
  <c r="H701"/>
  <c r="J701" s="1"/>
  <c r="E701"/>
  <c r="D701"/>
  <c r="S701" s="1"/>
  <c r="C701"/>
  <c r="B701"/>
  <c r="S700"/>
  <c r="L699"/>
  <c r="H699"/>
  <c r="J699" s="1"/>
  <c r="E699"/>
  <c r="D699"/>
  <c r="S699" s="1"/>
  <c r="C699"/>
  <c r="B699"/>
  <c r="L698"/>
  <c r="H698"/>
  <c r="J698" s="1"/>
  <c r="E698"/>
  <c r="D698"/>
  <c r="S698" s="1"/>
  <c r="C698"/>
  <c r="B698"/>
  <c r="S697"/>
  <c r="L696"/>
  <c r="H696"/>
  <c r="J696" s="1"/>
  <c r="E696"/>
  <c r="D696"/>
  <c r="S696" s="1"/>
  <c r="C696"/>
  <c r="B696"/>
  <c r="S695"/>
  <c r="L694"/>
  <c r="H694"/>
  <c r="J694" s="1"/>
  <c r="E694"/>
  <c r="D694"/>
  <c r="S694" s="1"/>
  <c r="C694"/>
  <c r="B694"/>
  <c r="S693"/>
  <c r="S692"/>
  <c r="S691"/>
  <c r="S690"/>
  <c r="L688"/>
  <c r="H688"/>
  <c r="J688" s="1"/>
  <c r="E688"/>
  <c r="D688"/>
  <c r="S688" s="1"/>
  <c r="C688"/>
  <c r="B688"/>
  <c r="S687"/>
  <c r="S686"/>
  <c r="S685"/>
  <c r="L683"/>
  <c r="H683"/>
  <c r="J683" s="1"/>
  <c r="E683"/>
  <c r="D683"/>
  <c r="S683" s="1"/>
  <c r="C683"/>
  <c r="B683"/>
  <c r="S682"/>
  <c r="L681"/>
  <c r="H681"/>
  <c r="J681" s="1"/>
  <c r="E681"/>
  <c r="D681"/>
  <c r="S681" s="1"/>
  <c r="C681"/>
  <c r="B681"/>
  <c r="S680"/>
  <c r="L679"/>
  <c r="H679"/>
  <c r="J679" s="1"/>
  <c r="E679"/>
  <c r="D679"/>
  <c r="S679" s="1"/>
  <c r="C679"/>
  <c r="B679"/>
  <c r="S678"/>
  <c r="S677"/>
  <c r="L676"/>
  <c r="H676"/>
  <c r="J676" s="1"/>
  <c r="E676"/>
  <c r="D676"/>
  <c r="S676" s="1"/>
  <c r="C676"/>
  <c r="B676"/>
  <c r="S675"/>
  <c r="L674"/>
  <c r="H674"/>
  <c r="J674" s="1"/>
  <c r="E674"/>
  <c r="D674"/>
  <c r="S674" s="1"/>
  <c r="C674"/>
  <c r="B674"/>
  <c r="S673"/>
  <c r="S672"/>
  <c r="S671"/>
  <c r="L669"/>
  <c r="H669"/>
  <c r="J669" s="1"/>
  <c r="E669"/>
  <c r="D669"/>
  <c r="S669" s="1"/>
  <c r="C669"/>
  <c r="B669"/>
  <c r="S668"/>
  <c r="L667"/>
  <c r="H667"/>
  <c r="J667" s="1"/>
  <c r="E667"/>
  <c r="D667"/>
  <c r="S667" s="1"/>
  <c r="C667"/>
  <c r="B667"/>
  <c r="S666"/>
  <c r="L665"/>
  <c r="H665"/>
  <c r="J665" s="1"/>
  <c r="E665"/>
  <c r="D665"/>
  <c r="S665" s="1"/>
  <c r="C665"/>
  <c r="B665"/>
  <c r="S664"/>
  <c r="S663"/>
  <c r="L662"/>
  <c r="H662"/>
  <c r="J662" s="1"/>
  <c r="E662"/>
  <c r="D662"/>
  <c r="S662" s="1"/>
  <c r="C662"/>
  <c r="B662"/>
  <c r="L661"/>
  <c r="H661"/>
  <c r="J661" s="1"/>
  <c r="E661"/>
  <c r="D661"/>
  <c r="S661" s="1"/>
  <c r="C661"/>
  <c r="B661"/>
  <c r="S660"/>
  <c r="L660"/>
  <c r="M660" s="1"/>
  <c r="L659"/>
  <c r="M659" s="1"/>
  <c r="E659"/>
  <c r="D659"/>
  <c r="S659" s="1"/>
  <c r="C659"/>
  <c r="B659"/>
  <c r="S658"/>
  <c r="S657"/>
  <c r="S656"/>
  <c r="S655"/>
  <c r="S653"/>
  <c r="L653"/>
  <c r="M653" s="1"/>
  <c r="L652"/>
  <c r="H652"/>
  <c r="J652" s="1"/>
  <c r="E652"/>
  <c r="D652"/>
  <c r="S652" s="1"/>
  <c r="C652"/>
  <c r="B652"/>
  <c r="S651"/>
  <c r="L650"/>
  <c r="H650"/>
  <c r="J650" s="1"/>
  <c r="E650"/>
  <c r="D650"/>
  <c r="S650" s="1"/>
  <c r="C650"/>
  <c r="B650"/>
  <c r="S649"/>
  <c r="S648"/>
  <c r="L648"/>
  <c r="H648"/>
  <c r="J648" s="1"/>
  <c r="L647"/>
  <c r="H647"/>
  <c r="J647" s="1"/>
  <c r="E647"/>
  <c r="D647"/>
  <c r="S647" s="1"/>
  <c r="C647"/>
  <c r="B647"/>
  <c r="L646"/>
  <c r="H646"/>
  <c r="J646" s="1"/>
  <c r="E646"/>
  <c r="D646"/>
  <c r="S646" s="1"/>
  <c r="C646"/>
  <c r="B646"/>
  <c r="S645"/>
  <c r="L644"/>
  <c r="H644"/>
  <c r="J644" s="1"/>
  <c r="E644"/>
  <c r="D644"/>
  <c r="S644" s="1"/>
  <c r="C644"/>
  <c r="B644"/>
  <c r="S643"/>
  <c r="S642"/>
  <c r="S641"/>
  <c r="L639"/>
  <c r="H639"/>
  <c r="J639" s="1"/>
  <c r="E639"/>
  <c r="D639"/>
  <c r="S639" s="1"/>
  <c r="C639"/>
  <c r="B639"/>
  <c r="L638"/>
  <c r="H638"/>
  <c r="J638" s="1"/>
  <c r="E638"/>
  <c r="D638"/>
  <c r="S638" s="1"/>
  <c r="C638"/>
  <c r="B638"/>
  <c r="S637"/>
  <c r="L636"/>
  <c r="H636"/>
  <c r="J636" s="1"/>
  <c r="E636"/>
  <c r="D636"/>
  <c r="S636" s="1"/>
  <c r="C636"/>
  <c r="B636"/>
  <c r="S635"/>
  <c r="S634"/>
  <c r="S633"/>
  <c r="L633"/>
  <c r="M633" s="1"/>
  <c r="L632"/>
  <c r="H632"/>
  <c r="E632"/>
  <c r="D632"/>
  <c r="S632" s="1"/>
  <c r="C632"/>
  <c r="B632"/>
  <c r="L631"/>
  <c r="H631"/>
  <c r="E631"/>
  <c r="D631"/>
  <c r="S631" s="1"/>
  <c r="C631"/>
  <c r="B631"/>
  <c r="S630"/>
  <c r="S629"/>
  <c r="S628"/>
  <c r="S627"/>
  <c r="S625"/>
  <c r="L625"/>
  <c r="M625" s="1"/>
  <c r="L624"/>
  <c r="H624"/>
  <c r="J624" s="1"/>
  <c r="E624"/>
  <c r="D624"/>
  <c r="S624" s="1"/>
  <c r="C624"/>
  <c r="B624"/>
  <c r="S623"/>
  <c r="S622"/>
  <c r="L621"/>
  <c r="H621"/>
  <c r="J621" s="1"/>
  <c r="E621"/>
  <c r="D621"/>
  <c r="S621" s="1"/>
  <c r="C621"/>
  <c r="B621"/>
  <c r="S620"/>
  <c r="L619"/>
  <c r="H619"/>
  <c r="J619" s="1"/>
  <c r="E619"/>
  <c r="D619"/>
  <c r="S619" s="1"/>
  <c r="C619"/>
  <c r="B619"/>
  <c r="L618"/>
  <c r="H618"/>
  <c r="J618" s="1"/>
  <c r="E618"/>
  <c r="D618"/>
  <c r="S618" s="1"/>
  <c r="C618"/>
  <c r="B618"/>
  <c r="L617"/>
  <c r="H617"/>
  <c r="J617" s="1"/>
  <c r="E617"/>
  <c r="D617"/>
  <c r="S617" s="1"/>
  <c r="C617"/>
  <c r="B617"/>
  <c r="S616"/>
  <c r="L615"/>
  <c r="H615"/>
  <c r="J615" s="1"/>
  <c r="E615"/>
  <c r="D615"/>
  <c r="S615" s="1"/>
  <c r="C615"/>
  <c r="B615"/>
  <c r="L614"/>
  <c r="H614"/>
  <c r="J614" s="1"/>
  <c r="D614"/>
  <c r="S614" s="1"/>
  <c r="C614"/>
  <c r="B614"/>
  <c r="S613"/>
  <c r="L612"/>
  <c r="H612"/>
  <c r="J612" s="1"/>
  <c r="E612"/>
  <c r="D612"/>
  <c r="S612" s="1"/>
  <c r="C612"/>
  <c r="B612"/>
  <c r="S611"/>
  <c r="L610"/>
  <c r="H610"/>
  <c r="J610" s="1"/>
  <c r="E610"/>
  <c r="D610"/>
  <c r="S610" s="1"/>
  <c r="C610"/>
  <c r="B610"/>
  <c r="L609"/>
  <c r="H609"/>
  <c r="J609" s="1"/>
  <c r="G609"/>
  <c r="E609"/>
  <c r="D609"/>
  <c r="S609" s="1"/>
  <c r="C609"/>
  <c r="B609"/>
  <c r="S608"/>
  <c r="S607"/>
  <c r="L606"/>
  <c r="H606"/>
  <c r="J606" s="1"/>
  <c r="E606"/>
  <c r="D606"/>
  <c r="S606" s="1"/>
  <c r="C606"/>
  <c r="B606"/>
  <c r="L605"/>
  <c r="H605"/>
  <c r="J605" s="1"/>
  <c r="E605"/>
  <c r="D605"/>
  <c r="S605" s="1"/>
  <c r="C605"/>
  <c r="B605"/>
  <c r="L604"/>
  <c r="H604"/>
  <c r="J604" s="1"/>
  <c r="E604"/>
  <c r="D604"/>
  <c r="S604" s="1"/>
  <c r="C604"/>
  <c r="B604"/>
  <c r="S603"/>
  <c r="L602"/>
  <c r="H602"/>
  <c r="J602" s="1"/>
  <c r="E602"/>
  <c r="D602"/>
  <c r="S602" s="1"/>
  <c r="C602"/>
  <c r="B602"/>
  <c r="S601"/>
  <c r="S600"/>
  <c r="L599"/>
  <c r="H599"/>
  <c r="J599" s="1"/>
  <c r="E599"/>
  <c r="D599"/>
  <c r="S599" s="1"/>
  <c r="C599"/>
  <c r="B599"/>
  <c r="S598"/>
  <c r="S597"/>
  <c r="S596"/>
  <c r="L594"/>
  <c r="H594"/>
  <c r="J594" s="1"/>
  <c r="E594"/>
  <c r="D594"/>
  <c r="S594" s="1"/>
  <c r="C594"/>
  <c r="B594"/>
  <c r="L593"/>
  <c r="H593"/>
  <c r="J593" s="1"/>
  <c r="E593"/>
  <c r="D593"/>
  <c r="S593" s="1"/>
  <c r="C593"/>
  <c r="B593"/>
  <c r="S592"/>
  <c r="L591"/>
  <c r="H591"/>
  <c r="J591" s="1"/>
  <c r="E591"/>
  <c r="D591"/>
  <c r="S591" s="1"/>
  <c r="C591"/>
  <c r="B591"/>
  <c r="S590"/>
  <c r="S589"/>
  <c r="L588"/>
  <c r="H588"/>
  <c r="J588" s="1"/>
  <c r="E588"/>
  <c r="D588"/>
  <c r="S588" s="1"/>
  <c r="C588"/>
  <c r="B588"/>
  <c r="S587"/>
  <c r="S586"/>
  <c r="S585"/>
  <c r="S584"/>
  <c r="S583"/>
  <c r="S582"/>
  <c r="S581"/>
  <c r="S580"/>
  <c r="S577"/>
  <c r="L577"/>
  <c r="M577" s="1"/>
  <c r="S576"/>
  <c r="S575"/>
  <c r="L573"/>
  <c r="H573"/>
  <c r="J573" s="1"/>
  <c r="E573"/>
  <c r="D573"/>
  <c r="S573" s="1"/>
  <c r="C573"/>
  <c r="B573"/>
  <c r="S572"/>
  <c r="S571"/>
  <c r="S570"/>
  <c r="L568"/>
  <c r="H568"/>
  <c r="J568" s="1"/>
  <c r="E568"/>
  <c r="D568"/>
  <c r="S568" s="1"/>
  <c r="C568"/>
  <c r="B568"/>
  <c r="S567"/>
  <c r="S566"/>
  <c r="L565"/>
  <c r="H565"/>
  <c r="J565" s="1"/>
  <c r="G565"/>
  <c r="E565"/>
  <c r="D565"/>
  <c r="S565" s="1"/>
  <c r="C565"/>
  <c r="B565"/>
  <c r="S564"/>
  <c r="S563"/>
  <c r="L562"/>
  <c r="H562"/>
  <c r="J562" s="1"/>
  <c r="E562"/>
  <c r="D562"/>
  <c r="S562" s="1"/>
  <c r="C562"/>
  <c r="B562"/>
  <c r="S561"/>
  <c r="S560"/>
  <c r="S559"/>
  <c r="S558"/>
  <c r="S557"/>
  <c r="S556"/>
  <c r="S553"/>
  <c r="L553"/>
  <c r="M553" s="1"/>
  <c r="S552"/>
  <c r="L552"/>
  <c r="M552" s="1"/>
  <c r="L551"/>
  <c r="H551"/>
  <c r="J551" s="1"/>
  <c r="E551"/>
  <c r="D551"/>
  <c r="S551" s="1"/>
  <c r="C551"/>
  <c r="B551"/>
  <c r="S550"/>
  <c r="S549"/>
  <c r="L549"/>
  <c r="M549" s="1"/>
  <c r="S548"/>
  <c r="L548"/>
  <c r="M548" s="1"/>
  <c r="S547"/>
  <c r="L547"/>
  <c r="M547" s="1"/>
  <c r="S546"/>
  <c r="L546"/>
  <c r="M546" s="1"/>
  <c r="S545"/>
  <c r="S544"/>
  <c r="S543"/>
  <c r="S542"/>
  <c r="S538"/>
  <c r="L538"/>
  <c r="M538" s="1"/>
  <c r="S537"/>
  <c r="S536"/>
  <c r="L534"/>
  <c r="H534"/>
  <c r="J534" s="1"/>
  <c r="E534"/>
  <c r="D534"/>
  <c r="S534" s="1"/>
  <c r="C534"/>
  <c r="B534"/>
  <c r="S533"/>
  <c r="S532"/>
  <c r="L531"/>
  <c r="H531"/>
  <c r="J531" s="1"/>
  <c r="E531"/>
  <c r="D531"/>
  <c r="S531" s="1"/>
  <c r="C531"/>
  <c r="B531"/>
  <c r="S530"/>
  <c r="S529"/>
  <c r="L528"/>
  <c r="H528"/>
  <c r="J528" s="1"/>
  <c r="E528"/>
  <c r="D528"/>
  <c r="S528" s="1"/>
  <c r="C528"/>
  <c r="B528"/>
  <c r="S527"/>
  <c r="S526"/>
  <c r="S525"/>
  <c r="S524"/>
  <c r="L522"/>
  <c r="H522"/>
  <c r="J522" s="1"/>
  <c r="D522"/>
  <c r="S522" s="1"/>
  <c r="C522"/>
  <c r="B522"/>
  <c r="S521"/>
  <c r="S520"/>
  <c r="S519"/>
  <c r="S518"/>
  <c r="L516"/>
  <c r="H516"/>
  <c r="J516" s="1"/>
  <c r="E516"/>
  <c r="D516"/>
  <c r="S516" s="1"/>
  <c r="C516"/>
  <c r="B516"/>
  <c r="S515"/>
  <c r="S514"/>
  <c r="S513"/>
  <c r="L511"/>
  <c r="H511"/>
  <c r="J511" s="1"/>
  <c r="E511"/>
  <c r="D511"/>
  <c r="S511" s="1"/>
  <c r="C511"/>
  <c r="B511"/>
  <c r="S510"/>
  <c r="L509"/>
  <c r="H509"/>
  <c r="J509" s="1"/>
  <c r="E509"/>
  <c r="D509"/>
  <c r="S509" s="1"/>
  <c r="C509"/>
  <c r="B509"/>
  <c r="S508"/>
  <c r="L507"/>
  <c r="H507"/>
  <c r="J507" s="1"/>
  <c r="E507"/>
  <c r="D507"/>
  <c r="S507" s="1"/>
  <c r="C507"/>
  <c r="B507"/>
  <c r="S506"/>
  <c r="L505"/>
  <c r="H505"/>
  <c r="J505" s="1"/>
  <c r="E505"/>
  <c r="D505"/>
  <c r="S505" s="1"/>
  <c r="C505"/>
  <c r="B505"/>
  <c r="L504"/>
  <c r="H504"/>
  <c r="J504" s="1"/>
  <c r="G504"/>
  <c r="E504"/>
  <c r="D504"/>
  <c r="S504" s="1"/>
  <c r="C504"/>
  <c r="B504"/>
  <c r="S503"/>
  <c r="S502"/>
  <c r="L501"/>
  <c r="L500"/>
  <c r="H500"/>
  <c r="J500" s="1"/>
  <c r="E500"/>
  <c r="D500"/>
  <c r="S500" s="1"/>
  <c r="C500"/>
  <c r="B500"/>
  <c r="S499"/>
  <c r="L498"/>
  <c r="H498"/>
  <c r="J498" s="1"/>
  <c r="E498"/>
  <c r="D498"/>
  <c r="S498" s="1"/>
  <c r="C498"/>
  <c r="B498"/>
  <c r="S497"/>
  <c r="S496"/>
  <c r="L495"/>
  <c r="H495"/>
  <c r="J495" s="1"/>
  <c r="E495"/>
  <c r="D495"/>
  <c r="S495" s="1"/>
  <c r="C495"/>
  <c r="B495"/>
  <c r="S494"/>
  <c r="S493"/>
  <c r="S492"/>
  <c r="L490"/>
  <c r="H490"/>
  <c r="J490" s="1"/>
  <c r="E490"/>
  <c r="D490"/>
  <c r="S490" s="1"/>
  <c r="C490"/>
  <c r="B490"/>
  <c r="S489"/>
  <c r="S488"/>
  <c r="S487"/>
  <c r="S486"/>
  <c r="L484"/>
  <c r="H484"/>
  <c r="E484"/>
  <c r="E501" s="1"/>
  <c r="D484"/>
  <c r="D501" s="1"/>
  <c r="S501" s="1"/>
  <c r="C484"/>
  <c r="C501" s="1"/>
  <c r="B484"/>
  <c r="B501" s="1"/>
  <c r="S483"/>
  <c r="S482"/>
  <c r="S481"/>
  <c r="L479"/>
  <c r="H479"/>
  <c r="J479" s="1"/>
  <c r="E479"/>
  <c r="D479"/>
  <c r="S479" s="1"/>
  <c r="C479"/>
  <c r="B479"/>
  <c r="L478"/>
  <c r="H478"/>
  <c r="J478" s="1"/>
  <c r="E478"/>
  <c r="D478"/>
  <c r="S478" s="1"/>
  <c r="C478"/>
  <c r="B478"/>
  <c r="S477"/>
  <c r="L476"/>
  <c r="H476"/>
  <c r="J476" s="1"/>
  <c r="E476"/>
  <c r="D476"/>
  <c r="S476" s="1"/>
  <c r="C476"/>
  <c r="B476"/>
  <c r="L475"/>
  <c r="H475"/>
  <c r="J475" s="1"/>
  <c r="E475"/>
  <c r="D475"/>
  <c r="S475" s="1"/>
  <c r="C475"/>
  <c r="B475"/>
  <c r="S474"/>
  <c r="L473"/>
  <c r="H473"/>
  <c r="J473" s="1"/>
  <c r="E473"/>
  <c r="D473"/>
  <c r="S473" s="1"/>
  <c r="C473"/>
  <c r="B473"/>
  <c r="S472"/>
  <c r="L471"/>
  <c r="H471"/>
  <c r="J471" s="1"/>
  <c r="E471"/>
  <c r="D471"/>
  <c r="S471" s="1"/>
  <c r="C471"/>
  <c r="B471"/>
  <c r="L470"/>
  <c r="H470"/>
  <c r="J470" s="1"/>
  <c r="E470"/>
  <c r="D470"/>
  <c r="S470" s="1"/>
  <c r="C470"/>
  <c r="B470"/>
  <c r="S469"/>
  <c r="S468"/>
  <c r="S467"/>
  <c r="L467"/>
  <c r="M467" s="1"/>
  <c r="G467"/>
  <c r="L466"/>
  <c r="H466"/>
  <c r="J466" s="1"/>
  <c r="G466"/>
  <c r="E466"/>
  <c r="D466"/>
  <c r="S466" s="1"/>
  <c r="C466"/>
  <c r="B466"/>
  <c r="L465"/>
  <c r="H465"/>
  <c r="J465" s="1"/>
  <c r="E465"/>
  <c r="D465"/>
  <c r="S465" s="1"/>
  <c r="C465"/>
  <c r="B465"/>
  <c r="S464"/>
  <c r="S463"/>
  <c r="S462"/>
  <c r="S461"/>
  <c r="L459"/>
  <c r="H459"/>
  <c r="J459" s="1"/>
  <c r="E459"/>
  <c r="D459"/>
  <c r="S459" s="1"/>
  <c r="C459"/>
  <c r="B459"/>
  <c r="S458"/>
  <c r="S457"/>
  <c r="L456"/>
  <c r="H456"/>
  <c r="J456" s="1"/>
  <c r="E456"/>
  <c r="D456"/>
  <c r="S456" s="1"/>
  <c r="C456"/>
  <c r="B456"/>
  <c r="S455"/>
  <c r="S454"/>
  <c r="S453"/>
  <c r="S452"/>
  <c r="S451"/>
  <c r="S450"/>
  <c r="L447"/>
  <c r="H447"/>
  <c r="J447" s="1"/>
  <c r="E447"/>
  <c r="D447"/>
  <c r="S447" s="1"/>
  <c r="C447"/>
  <c r="B447"/>
  <c r="S446"/>
  <c r="L445"/>
  <c r="H445"/>
  <c r="J445" s="1"/>
  <c r="E445"/>
  <c r="D445"/>
  <c r="S445" s="1"/>
  <c r="C445"/>
  <c r="B445"/>
  <c r="L444"/>
  <c r="H444"/>
  <c r="J444" s="1"/>
  <c r="E444"/>
  <c r="D444"/>
  <c r="S444" s="1"/>
  <c r="C444"/>
  <c r="B444"/>
  <c r="L443"/>
  <c r="H443"/>
  <c r="J443" s="1"/>
  <c r="E443"/>
  <c r="D443"/>
  <c r="S443" s="1"/>
  <c r="C443"/>
  <c r="B443"/>
  <c r="S442"/>
  <c r="L441"/>
  <c r="H441"/>
  <c r="J441" s="1"/>
  <c r="D441"/>
  <c r="S441" s="1"/>
  <c r="C441"/>
  <c r="B441"/>
  <c r="B439" s="1"/>
  <c r="L440"/>
  <c r="H440"/>
  <c r="J440" s="1"/>
  <c r="D440"/>
  <c r="S440" s="1"/>
  <c r="C440"/>
  <c r="B440"/>
  <c r="L439"/>
  <c r="H439"/>
  <c r="J439" s="1"/>
  <c r="D439"/>
  <c r="S439" s="1"/>
  <c r="C439"/>
  <c r="S438"/>
  <c r="S437"/>
  <c r="L437"/>
  <c r="M437" s="1"/>
  <c r="S436"/>
  <c r="L436"/>
  <c r="M436" s="1"/>
  <c r="S435"/>
  <c r="S434"/>
  <c r="S433"/>
  <c r="S432"/>
  <c r="S431"/>
  <c r="S428"/>
  <c r="L428"/>
  <c r="M428" s="1"/>
  <c r="S427"/>
  <c r="L427"/>
  <c r="M427" s="1"/>
  <c r="S426"/>
  <c r="L426"/>
  <c r="M426" s="1"/>
  <c r="S425"/>
  <c r="L425"/>
  <c r="M425" s="1"/>
  <c r="S424"/>
  <c r="S423"/>
  <c r="L421"/>
  <c r="H421"/>
  <c r="J421" s="1"/>
  <c r="E421"/>
  <c r="D421"/>
  <c r="S421" s="1"/>
  <c r="C421"/>
  <c r="B421"/>
  <c r="L420"/>
  <c r="H420"/>
  <c r="J420" s="1"/>
  <c r="E420"/>
  <c r="D420"/>
  <c r="S420" s="1"/>
  <c r="C420"/>
  <c r="B420"/>
  <c r="S419"/>
  <c r="S418"/>
  <c r="S417"/>
  <c r="L415"/>
  <c r="H415"/>
  <c r="J415" s="1"/>
  <c r="E415"/>
  <c r="D415"/>
  <c r="S415" s="1"/>
  <c r="C415"/>
  <c r="B415"/>
  <c r="L414"/>
  <c r="H414"/>
  <c r="J414" s="1"/>
  <c r="E414"/>
  <c r="D414"/>
  <c r="S414" s="1"/>
  <c r="C414"/>
  <c r="B414"/>
  <c r="L413"/>
  <c r="H413"/>
  <c r="J413" s="1"/>
  <c r="E413"/>
  <c r="D413"/>
  <c r="S413" s="1"/>
  <c r="C413"/>
  <c r="B413"/>
  <c r="S412"/>
  <c r="S411"/>
  <c r="S410"/>
  <c r="L410"/>
  <c r="M410" s="1"/>
  <c r="L409"/>
  <c r="H409"/>
  <c r="J409" s="1"/>
  <c r="E409"/>
  <c r="D409"/>
  <c r="S409" s="1"/>
  <c r="C409"/>
  <c r="B409"/>
  <c r="L408"/>
  <c r="H408"/>
  <c r="J408" s="1"/>
  <c r="E408"/>
  <c r="D408"/>
  <c r="S408" s="1"/>
  <c r="C408"/>
  <c r="B408"/>
  <c r="S407"/>
  <c r="L407"/>
  <c r="S406"/>
  <c r="L406"/>
  <c r="S405"/>
  <c r="L405"/>
  <c r="C405"/>
  <c r="C406" s="1"/>
  <c r="C407" s="1"/>
  <c r="B405"/>
  <c r="B406" s="1"/>
  <c r="B407" s="1"/>
  <c r="S404"/>
  <c r="L404"/>
  <c r="B404"/>
  <c r="S403"/>
  <c r="L403"/>
  <c r="H403"/>
  <c r="C403"/>
  <c r="B403"/>
  <c r="L402"/>
  <c r="H402"/>
  <c r="J402" s="1"/>
  <c r="G402"/>
  <c r="E402"/>
  <c r="D402"/>
  <c r="S402" s="1"/>
  <c r="C402"/>
  <c r="B402"/>
  <c r="S401"/>
  <c r="S400"/>
  <c r="S399"/>
  <c r="L397"/>
  <c r="S396"/>
  <c r="S395"/>
  <c r="L394"/>
  <c r="H394"/>
  <c r="J394" s="1"/>
  <c r="E394"/>
  <c r="C9" i="91" s="1"/>
  <c r="D394" i="86"/>
  <c r="C394"/>
  <c r="B394"/>
  <c r="S393"/>
  <c r="S392"/>
  <c r="L391"/>
  <c r="H391"/>
  <c r="E391"/>
  <c r="E397" s="1"/>
  <c r="D391"/>
  <c r="D397" s="1"/>
  <c r="S397" s="1"/>
  <c r="C391"/>
  <c r="C397" s="1"/>
  <c r="B391"/>
  <c r="B397" s="1"/>
  <c r="S390"/>
  <c r="S389"/>
  <c r="S388"/>
  <c r="S387"/>
  <c r="L385"/>
  <c r="H385"/>
  <c r="J385" s="1"/>
  <c r="E385"/>
  <c r="D385"/>
  <c r="S385" s="1"/>
  <c r="C385"/>
  <c r="B385"/>
  <c r="S384"/>
  <c r="S383"/>
  <c r="S382"/>
  <c r="S381"/>
  <c r="S379"/>
  <c r="F379"/>
  <c r="L379" s="1"/>
  <c r="M379" s="1"/>
  <c r="H378"/>
  <c r="J378" s="1"/>
  <c r="F378"/>
  <c r="L378" s="1"/>
  <c r="E378"/>
  <c r="D378"/>
  <c r="S378" s="1"/>
  <c r="C378"/>
  <c r="B378"/>
  <c r="S377"/>
  <c r="S376"/>
  <c r="S375"/>
  <c r="L373"/>
  <c r="H373"/>
  <c r="J373" s="1"/>
  <c r="E373"/>
  <c r="D373"/>
  <c r="S373" s="1"/>
  <c r="C373"/>
  <c r="B373"/>
  <c r="S372"/>
  <c r="L371"/>
  <c r="H371"/>
  <c r="J371" s="1"/>
  <c r="E371"/>
  <c r="D371"/>
  <c r="S371" s="1"/>
  <c r="C371"/>
  <c r="B371"/>
  <c r="S370"/>
  <c r="S369"/>
  <c r="S368"/>
  <c r="S367"/>
  <c r="L365"/>
  <c r="H365"/>
  <c r="J365" s="1"/>
  <c r="E365"/>
  <c r="D365"/>
  <c r="S365" s="1"/>
  <c r="C365"/>
  <c r="B365"/>
  <c r="S364"/>
  <c r="S363"/>
  <c r="S362"/>
  <c r="S361"/>
  <c r="L359"/>
  <c r="H359"/>
  <c r="J359" s="1"/>
  <c r="E359"/>
  <c r="D359"/>
  <c r="S359" s="1"/>
  <c r="C359"/>
  <c r="B359"/>
  <c r="S358"/>
  <c r="L357"/>
  <c r="H357"/>
  <c r="J357" s="1"/>
  <c r="E357"/>
  <c r="C8" i="91" s="1"/>
  <c r="D357" i="86"/>
  <c r="C357"/>
  <c r="B357"/>
  <c r="S356"/>
  <c r="L355"/>
  <c r="H355"/>
  <c r="J355" s="1"/>
  <c r="E355"/>
  <c r="D355"/>
  <c r="S355" s="1"/>
  <c r="C355"/>
  <c r="B355"/>
  <c r="L354"/>
  <c r="H354"/>
  <c r="J354" s="1"/>
  <c r="E354"/>
  <c r="D354"/>
  <c r="S354" s="1"/>
  <c r="C354"/>
  <c r="B354"/>
  <c r="S353"/>
  <c r="H352"/>
  <c r="J352" s="1"/>
  <c r="G352"/>
  <c r="E352"/>
  <c r="D352"/>
  <c r="S352" s="1"/>
  <c r="C352"/>
  <c r="B352"/>
  <c r="S351"/>
  <c r="S350"/>
  <c r="L349"/>
  <c r="H349"/>
  <c r="J349" s="1"/>
  <c r="E349"/>
  <c r="D349"/>
  <c r="S349" s="1"/>
  <c r="C349"/>
  <c r="B349"/>
  <c r="S348"/>
  <c r="L347"/>
  <c r="H347"/>
  <c r="J347" s="1"/>
  <c r="E347"/>
  <c r="D347"/>
  <c r="S347" s="1"/>
  <c r="C347"/>
  <c r="B347"/>
  <c r="L346"/>
  <c r="H346"/>
  <c r="J346" s="1"/>
  <c r="E346"/>
  <c r="C7" i="91" s="1"/>
  <c r="D346" i="86"/>
  <c r="C346"/>
  <c r="B346"/>
  <c r="S345"/>
  <c r="L344"/>
  <c r="H344"/>
  <c r="J344" s="1"/>
  <c r="E344"/>
  <c r="D344"/>
  <c r="S344" s="1"/>
  <c r="C344"/>
  <c r="B344"/>
  <c r="S343"/>
  <c r="S342"/>
  <c r="L341"/>
  <c r="H341"/>
  <c r="J341" s="1"/>
  <c r="E341"/>
  <c r="D341"/>
  <c r="S341" s="1"/>
  <c r="C341"/>
  <c r="B341"/>
  <c r="S340"/>
  <c r="S339"/>
  <c r="S338"/>
  <c r="S337"/>
  <c r="S336"/>
  <c r="S334"/>
  <c r="S332"/>
  <c r="L332"/>
  <c r="M332" s="1"/>
  <c r="S331"/>
  <c r="L331"/>
  <c r="M331" s="1"/>
  <c r="S330"/>
  <c r="L330"/>
  <c r="M330" s="1"/>
  <c r="S329"/>
  <c r="S328"/>
  <c r="L326"/>
  <c r="H326"/>
  <c r="J326" s="1"/>
  <c r="E326"/>
  <c r="D326"/>
  <c r="S326" s="1"/>
  <c r="C326"/>
  <c r="B326"/>
  <c r="S325"/>
  <c r="S324"/>
  <c r="L323"/>
  <c r="H323"/>
  <c r="J323" s="1"/>
  <c r="E323"/>
  <c r="D323"/>
  <c r="S323" s="1"/>
  <c r="C323"/>
  <c r="B323"/>
  <c r="S322"/>
  <c r="L321"/>
  <c r="H321"/>
  <c r="J321" s="1"/>
  <c r="E321"/>
  <c r="D321"/>
  <c r="S321" s="1"/>
  <c r="C321"/>
  <c r="B321"/>
  <c r="S320"/>
  <c r="L319"/>
  <c r="H319"/>
  <c r="J319" s="1"/>
  <c r="E319"/>
  <c r="D319"/>
  <c r="S319" s="1"/>
  <c r="C319"/>
  <c r="B319"/>
  <c r="S318"/>
  <c r="S317"/>
  <c r="S316"/>
  <c r="L314"/>
  <c r="H314"/>
  <c r="J314" s="1"/>
  <c r="E314"/>
  <c r="D314"/>
  <c r="S314" s="1"/>
  <c r="C314"/>
  <c r="B314"/>
  <c r="S313"/>
  <c r="S312"/>
  <c r="S311"/>
  <c r="S310"/>
  <c r="L308"/>
  <c r="H308"/>
  <c r="J308" s="1"/>
  <c r="E308"/>
  <c r="D308"/>
  <c r="S308" s="1"/>
  <c r="C308"/>
  <c r="B308"/>
  <c r="S307"/>
  <c r="S306"/>
  <c r="L305"/>
  <c r="H305"/>
  <c r="J305" s="1"/>
  <c r="E305"/>
  <c r="D305"/>
  <c r="S305" s="1"/>
  <c r="C305"/>
  <c r="B305"/>
  <c r="S304"/>
  <c r="S303"/>
  <c r="S302"/>
  <c r="S301"/>
  <c r="S300"/>
  <c r="S297"/>
  <c r="L297"/>
  <c r="M297" s="1"/>
  <c r="S296"/>
  <c r="S295"/>
  <c r="L293"/>
  <c r="H293"/>
  <c r="J293" s="1"/>
  <c r="E293"/>
  <c r="D293"/>
  <c r="S293" s="1"/>
  <c r="C293"/>
  <c r="B293"/>
  <c r="S292"/>
  <c r="S291"/>
  <c r="S290"/>
  <c r="L288"/>
  <c r="H288"/>
  <c r="J288" s="1"/>
  <c r="E288"/>
  <c r="D288"/>
  <c r="S288" s="1"/>
  <c r="C288"/>
  <c r="B288"/>
  <c r="S287"/>
  <c r="S286"/>
  <c r="S285"/>
  <c r="S284"/>
  <c r="L282"/>
  <c r="H282"/>
  <c r="J282" s="1"/>
  <c r="E282"/>
  <c r="D282"/>
  <c r="S282" s="1"/>
  <c r="C282"/>
  <c r="B282"/>
  <c r="L281"/>
  <c r="H281"/>
  <c r="J281" s="1"/>
  <c r="E281"/>
  <c r="D281"/>
  <c r="S281" s="1"/>
  <c r="C281"/>
  <c r="B281"/>
  <c r="S280"/>
  <c r="S279"/>
  <c r="L278"/>
  <c r="H278"/>
  <c r="J278" s="1"/>
  <c r="G278"/>
  <c r="E278"/>
  <c r="D278"/>
  <c r="S278" s="1"/>
  <c r="C278"/>
  <c r="B278"/>
  <c r="L277"/>
  <c r="H277"/>
  <c r="J277" s="1"/>
  <c r="E277"/>
  <c r="D277"/>
  <c r="S277" s="1"/>
  <c r="C277"/>
  <c r="B277"/>
  <c r="S276"/>
  <c r="S275"/>
  <c r="L274"/>
  <c r="H274"/>
  <c r="J274" s="1"/>
  <c r="E274"/>
  <c r="D274"/>
  <c r="S274" s="1"/>
  <c r="C274"/>
  <c r="B274"/>
  <c r="L273"/>
  <c r="H273"/>
  <c r="E273"/>
  <c r="D273"/>
  <c r="S273" s="1"/>
  <c r="C273"/>
  <c r="B273"/>
  <c r="L272"/>
  <c r="H272"/>
  <c r="E272"/>
  <c r="D272"/>
  <c r="S272" s="1"/>
  <c r="C272"/>
  <c r="B272"/>
  <c r="S271"/>
  <c r="L270"/>
  <c r="H270"/>
  <c r="J270" s="1"/>
  <c r="E270"/>
  <c r="D270"/>
  <c r="S270" s="1"/>
  <c r="C270"/>
  <c r="B270"/>
  <c r="S269"/>
  <c r="S268"/>
  <c r="L267"/>
  <c r="H267"/>
  <c r="J267" s="1"/>
  <c r="E267"/>
  <c r="D267"/>
  <c r="S267" s="1"/>
  <c r="C267"/>
  <c r="B267"/>
  <c r="S266"/>
  <c r="S265"/>
  <c r="S264"/>
  <c r="L262"/>
  <c r="H262"/>
  <c r="J262" s="1"/>
  <c r="E262"/>
  <c r="D262"/>
  <c r="S262" s="1"/>
  <c r="C262"/>
  <c r="B262"/>
  <c r="L261"/>
  <c r="H261"/>
  <c r="J261" s="1"/>
  <c r="E261"/>
  <c r="D261"/>
  <c r="S261" s="1"/>
  <c r="C261"/>
  <c r="B261"/>
  <c r="S260"/>
  <c r="L259"/>
  <c r="H259"/>
  <c r="J259" s="1"/>
  <c r="E259"/>
  <c r="D259"/>
  <c r="S259" s="1"/>
  <c r="C259"/>
  <c r="B259"/>
  <c r="S258"/>
  <c r="S257"/>
  <c r="L256"/>
  <c r="H256"/>
  <c r="J256" s="1"/>
  <c r="E256"/>
  <c r="D256"/>
  <c r="S256" s="1"/>
  <c r="C256"/>
  <c r="B256"/>
  <c r="L255"/>
  <c r="H255"/>
  <c r="J255" s="1"/>
  <c r="E255"/>
  <c r="D255"/>
  <c r="S255" s="1"/>
  <c r="C255"/>
  <c r="B255"/>
  <c r="S254"/>
  <c r="S253"/>
  <c r="S252"/>
  <c r="S251"/>
  <c r="S249"/>
  <c r="S246"/>
  <c r="L246"/>
  <c r="M246" s="1"/>
  <c r="S245"/>
  <c r="S244"/>
  <c r="L242"/>
  <c r="H242"/>
  <c r="J242" s="1"/>
  <c r="E242"/>
  <c r="D242"/>
  <c r="S242" s="1"/>
  <c r="C242"/>
  <c r="B242"/>
  <c r="S241"/>
  <c r="S240"/>
  <c r="S239"/>
  <c r="L237"/>
  <c r="H237"/>
  <c r="J237" s="1"/>
  <c r="E237"/>
  <c r="D237"/>
  <c r="S237" s="1"/>
  <c r="C237"/>
  <c r="B237"/>
  <c r="S236"/>
  <c r="S235"/>
  <c r="S234"/>
  <c r="S233"/>
  <c r="L231"/>
  <c r="H231"/>
  <c r="J231" s="1"/>
  <c r="E231"/>
  <c r="D231"/>
  <c r="S231" s="1"/>
  <c r="C231"/>
  <c r="B231"/>
  <c r="S230"/>
  <c r="S229"/>
  <c r="S228"/>
  <c r="L226"/>
  <c r="H226"/>
  <c r="J226" s="1"/>
  <c r="E226"/>
  <c r="D226"/>
  <c r="S226" s="1"/>
  <c r="C226"/>
  <c r="B226"/>
  <c r="S225"/>
  <c r="S224"/>
  <c r="S223"/>
  <c r="L221"/>
  <c r="H221"/>
  <c r="J221" s="1"/>
  <c r="G221"/>
  <c r="E221"/>
  <c r="D221"/>
  <c r="S221" s="1"/>
  <c r="C221"/>
  <c r="B221"/>
  <c r="L220"/>
  <c r="H220"/>
  <c r="J220" s="1"/>
  <c r="G220"/>
  <c r="E220"/>
  <c r="D220"/>
  <c r="S220" s="1"/>
  <c r="C220"/>
  <c r="B220"/>
  <c r="S219"/>
  <c r="S218"/>
  <c r="L217"/>
  <c r="H217"/>
  <c r="J217" s="1"/>
  <c r="G217"/>
  <c r="E217"/>
  <c r="D217"/>
  <c r="S217" s="1"/>
  <c r="C217"/>
  <c r="B217"/>
  <c r="L216"/>
  <c r="H216"/>
  <c r="J216" s="1"/>
  <c r="E216"/>
  <c r="D216"/>
  <c r="S216" s="1"/>
  <c r="C216"/>
  <c r="B216"/>
  <c r="S215"/>
  <c r="S214"/>
  <c r="L213"/>
  <c r="H213"/>
  <c r="J213" s="1"/>
  <c r="E213"/>
  <c r="D213"/>
  <c r="S213" s="1"/>
  <c r="C213"/>
  <c r="B213"/>
  <c r="L212"/>
  <c r="H212"/>
  <c r="J212" s="1"/>
  <c r="E212"/>
  <c r="D212"/>
  <c r="S212" s="1"/>
  <c r="C212"/>
  <c r="B212"/>
  <c r="L211"/>
  <c r="H211"/>
  <c r="J211" s="1"/>
  <c r="E211"/>
  <c r="D211"/>
  <c r="S211" s="1"/>
  <c r="C211"/>
  <c r="B211"/>
  <c r="S210"/>
  <c r="L209"/>
  <c r="H209"/>
  <c r="J209" s="1"/>
  <c r="E209"/>
  <c r="D209"/>
  <c r="S209" s="1"/>
  <c r="C209"/>
  <c r="B209"/>
  <c r="S208"/>
  <c r="S207"/>
  <c r="S206"/>
  <c r="S205"/>
  <c r="L203"/>
  <c r="H203"/>
  <c r="J203" s="1"/>
  <c r="E203"/>
  <c r="D203"/>
  <c r="S203" s="1"/>
  <c r="C203"/>
  <c r="B203"/>
  <c r="L202"/>
  <c r="H202"/>
  <c r="J202" s="1"/>
  <c r="E202"/>
  <c r="D202"/>
  <c r="S202" s="1"/>
  <c r="C202"/>
  <c r="B202"/>
  <c r="S201"/>
  <c r="L200"/>
  <c r="H200"/>
  <c r="J200" s="1"/>
  <c r="E200"/>
  <c r="D200"/>
  <c r="S200" s="1"/>
  <c r="C200"/>
  <c r="L199"/>
  <c r="H199"/>
  <c r="J199" s="1"/>
  <c r="E199"/>
  <c r="D199"/>
  <c r="S199" s="1"/>
  <c r="C199"/>
  <c r="B199"/>
  <c r="S198"/>
  <c r="L197"/>
  <c r="H197"/>
  <c r="E197"/>
  <c r="D197"/>
  <c r="S197" s="1"/>
  <c r="C197"/>
  <c r="B197"/>
  <c r="L196"/>
  <c r="H196"/>
  <c r="E196"/>
  <c r="D196"/>
  <c r="S196" s="1"/>
  <c r="C196"/>
  <c r="B196"/>
  <c r="S195"/>
  <c r="S194"/>
  <c r="S193"/>
  <c r="S192"/>
  <c r="S189"/>
  <c r="L187"/>
  <c r="L186"/>
  <c r="L185"/>
  <c r="H185"/>
  <c r="J185" s="1"/>
  <c r="E185"/>
  <c r="D185"/>
  <c r="S185" s="1"/>
  <c r="C185"/>
  <c r="B185"/>
  <c r="S184"/>
  <c r="L183"/>
  <c r="H183"/>
  <c r="J183" s="1"/>
  <c r="E183"/>
  <c r="D183"/>
  <c r="S183" s="1"/>
  <c r="C183"/>
  <c r="B183"/>
  <c r="L182"/>
  <c r="H182"/>
  <c r="J182" s="1"/>
  <c r="E182"/>
  <c r="D182"/>
  <c r="S182" s="1"/>
  <c r="C182"/>
  <c r="B182"/>
  <c r="L181"/>
  <c r="H181"/>
  <c r="J181" s="1"/>
  <c r="E181"/>
  <c r="D181"/>
  <c r="S181" s="1"/>
  <c r="C181"/>
  <c r="B181"/>
  <c r="S180"/>
  <c r="L179"/>
  <c r="H179"/>
  <c r="J179" s="1"/>
  <c r="E179"/>
  <c r="D179"/>
  <c r="S179" s="1"/>
  <c r="C179"/>
  <c r="B179"/>
  <c r="S178"/>
  <c r="S177"/>
  <c r="L177"/>
  <c r="M177" s="1"/>
  <c r="S176"/>
  <c r="L176"/>
  <c r="M176" s="1"/>
  <c r="S175"/>
  <c r="L175"/>
  <c r="M175" s="1"/>
  <c r="S174"/>
  <c r="S173"/>
  <c r="S172"/>
  <c r="S170"/>
  <c r="L167"/>
  <c r="H167"/>
  <c r="E167"/>
  <c r="E187" s="1"/>
  <c r="D167"/>
  <c r="D187" s="1"/>
  <c r="S187" s="1"/>
  <c r="C167"/>
  <c r="C187" s="1"/>
  <c r="B167"/>
  <c r="L166"/>
  <c r="M166" s="1"/>
  <c r="H166"/>
  <c r="H186" s="1"/>
  <c r="J186" s="1"/>
  <c r="E166"/>
  <c r="E186" s="1"/>
  <c r="D166"/>
  <c r="D186" s="1"/>
  <c r="S186" s="1"/>
  <c r="C166"/>
  <c r="C186" s="1"/>
  <c r="B166"/>
  <c r="B186" s="1"/>
  <c r="S165"/>
  <c r="L164"/>
  <c r="H164"/>
  <c r="J164" s="1"/>
  <c r="E164"/>
  <c r="D164"/>
  <c r="S164" s="1"/>
  <c r="C164"/>
  <c r="B164"/>
  <c r="S163"/>
  <c r="L162"/>
  <c r="H162"/>
  <c r="J162" s="1"/>
  <c r="E162"/>
  <c r="D162"/>
  <c r="S162" s="1"/>
  <c r="C162"/>
  <c r="B162"/>
  <c r="L161"/>
  <c r="H161"/>
  <c r="J161" s="1"/>
  <c r="E161"/>
  <c r="D161"/>
  <c r="S161" s="1"/>
  <c r="C161"/>
  <c r="B161"/>
  <c r="L160"/>
  <c r="H160"/>
  <c r="J160" s="1"/>
  <c r="E160"/>
  <c r="D160"/>
  <c r="S160" s="1"/>
  <c r="C160"/>
  <c r="B160"/>
  <c r="L159"/>
  <c r="H159"/>
  <c r="J159" s="1"/>
  <c r="E159"/>
  <c r="D159"/>
  <c r="S159" s="1"/>
  <c r="C159"/>
  <c r="B159"/>
  <c r="S158"/>
  <c r="L157"/>
  <c r="H157"/>
  <c r="J157" s="1"/>
  <c r="E157"/>
  <c r="D157"/>
  <c r="S157" s="1"/>
  <c r="C157"/>
  <c r="B157"/>
  <c r="L156"/>
  <c r="H156"/>
  <c r="J156" s="1"/>
  <c r="E156"/>
  <c r="D156"/>
  <c r="S156" s="1"/>
  <c r="C156"/>
  <c r="B156"/>
  <c r="L155"/>
  <c r="H155"/>
  <c r="J155" s="1"/>
  <c r="E155"/>
  <c r="D155"/>
  <c r="S155" s="1"/>
  <c r="C155"/>
  <c r="B155"/>
  <c r="L154"/>
  <c r="H154"/>
  <c r="J154" s="1"/>
  <c r="E154"/>
  <c r="D154"/>
  <c r="S154" s="1"/>
  <c r="C154"/>
  <c r="B154"/>
  <c r="L153"/>
  <c r="H153"/>
  <c r="J153" s="1"/>
  <c r="G153"/>
  <c r="G154" s="1"/>
  <c r="E153"/>
  <c r="D153"/>
  <c r="S153" s="1"/>
  <c r="C153"/>
  <c r="B153"/>
  <c r="L152"/>
  <c r="H152"/>
  <c r="J152" s="1"/>
  <c r="E152"/>
  <c r="D152"/>
  <c r="S152" s="1"/>
  <c r="C152"/>
  <c r="B152"/>
  <c r="L151"/>
  <c r="H151"/>
  <c r="J151" s="1"/>
  <c r="E151"/>
  <c r="D151"/>
  <c r="S151" s="1"/>
  <c r="C151"/>
  <c r="B151"/>
  <c r="L150"/>
  <c r="H150"/>
  <c r="J150" s="1"/>
  <c r="G150"/>
  <c r="E150"/>
  <c r="D150"/>
  <c r="S150" s="1"/>
  <c r="C150"/>
  <c r="B150"/>
  <c r="L149"/>
  <c r="H149"/>
  <c r="G149"/>
  <c r="E149"/>
  <c r="D149"/>
  <c r="S149" s="1"/>
  <c r="C149"/>
  <c r="B149"/>
  <c r="L148"/>
  <c r="H148"/>
  <c r="E148"/>
  <c r="D148"/>
  <c r="S148" s="1"/>
  <c r="C148"/>
  <c r="B148"/>
  <c r="L147"/>
  <c r="H147"/>
  <c r="J147" s="1"/>
  <c r="G147"/>
  <c r="E147"/>
  <c r="D147"/>
  <c r="S147" s="1"/>
  <c r="C147"/>
  <c r="B147"/>
  <c r="L146"/>
  <c r="H146"/>
  <c r="J146" s="1"/>
  <c r="G146"/>
  <c r="E146"/>
  <c r="D146"/>
  <c r="S146" s="1"/>
  <c r="C146"/>
  <c r="B146"/>
  <c r="L145"/>
  <c r="H145"/>
  <c r="J145" s="1"/>
  <c r="E145"/>
  <c r="D145"/>
  <c r="S145" s="1"/>
  <c r="C145"/>
  <c r="B145"/>
  <c r="S144"/>
  <c r="S143"/>
  <c r="L143"/>
  <c r="M143" s="1"/>
  <c r="S142"/>
  <c r="L142"/>
  <c r="M142" s="1"/>
  <c r="S141"/>
  <c r="L141"/>
  <c r="M141" s="1"/>
  <c r="S140"/>
  <c r="L140"/>
  <c r="M140" s="1"/>
  <c r="S139"/>
  <c r="L139"/>
  <c r="M139" s="1"/>
  <c r="S138"/>
  <c r="L138"/>
  <c r="M138" s="1"/>
  <c r="S137"/>
  <c r="S136"/>
  <c r="S135"/>
  <c r="S134"/>
  <c r="L131"/>
  <c r="H131"/>
  <c r="J131" s="1"/>
  <c r="G131"/>
  <c r="E131"/>
  <c r="D131"/>
  <c r="S131" s="1"/>
  <c r="C131"/>
  <c r="B131"/>
  <c r="S130"/>
  <c r="S129"/>
  <c r="L128"/>
  <c r="H128"/>
  <c r="J128" s="1"/>
  <c r="G128"/>
  <c r="E128"/>
  <c r="D128"/>
  <c r="S128" s="1"/>
  <c r="C128"/>
  <c r="B128"/>
  <c r="S127"/>
  <c r="S126"/>
  <c r="S125"/>
  <c r="S124"/>
  <c r="S123"/>
  <c r="L122"/>
  <c r="H122"/>
  <c r="J122" s="1"/>
  <c r="G122"/>
  <c r="E122"/>
  <c r="D122"/>
  <c r="S122" s="1"/>
  <c r="C122"/>
  <c r="B122"/>
  <c r="S121"/>
  <c r="S120"/>
  <c r="S119"/>
  <c r="S118"/>
  <c r="S117"/>
  <c r="L116"/>
  <c r="H116"/>
  <c r="J116" s="1"/>
  <c r="G116"/>
  <c r="E116"/>
  <c r="D116"/>
  <c r="S116" s="1"/>
  <c r="C116"/>
  <c r="B116"/>
  <c r="S115"/>
  <c r="S114"/>
  <c r="S113"/>
  <c r="S112"/>
  <c r="S111"/>
  <c r="L110"/>
  <c r="H110"/>
  <c r="J110" s="1"/>
  <c r="G110"/>
  <c r="E110"/>
  <c r="D110"/>
  <c r="S110" s="1"/>
  <c r="C110"/>
  <c r="B110"/>
  <c r="S109"/>
  <c r="S108"/>
  <c r="S107"/>
  <c r="S106"/>
  <c r="L104"/>
  <c r="H104"/>
  <c r="J104" s="1"/>
  <c r="G104"/>
  <c r="E104"/>
  <c r="D104"/>
  <c r="S104" s="1"/>
  <c r="C104"/>
  <c r="B104"/>
  <c r="S103"/>
  <c r="S102"/>
  <c r="S101"/>
  <c r="S100"/>
  <c r="L98"/>
  <c r="H98"/>
  <c r="J98" s="1"/>
  <c r="G98"/>
  <c r="E98"/>
  <c r="D98"/>
  <c r="S98" s="1"/>
  <c r="C98"/>
  <c r="B98"/>
  <c r="S97"/>
  <c r="S96"/>
  <c r="S95"/>
  <c r="S94"/>
  <c r="L92"/>
  <c r="H92"/>
  <c r="J92" s="1"/>
  <c r="E92"/>
  <c r="D92"/>
  <c r="S92" s="1"/>
  <c r="C92"/>
  <c r="B92"/>
  <c r="L91"/>
  <c r="H91"/>
  <c r="J91" s="1"/>
  <c r="G91"/>
  <c r="E91"/>
  <c r="D91"/>
  <c r="S91" s="1"/>
  <c r="C91"/>
  <c r="B91"/>
  <c r="S90"/>
  <c r="L89"/>
  <c r="H89"/>
  <c r="J89" s="1"/>
  <c r="G89"/>
  <c r="E89"/>
  <c r="D89"/>
  <c r="S89" s="1"/>
  <c r="C89"/>
  <c r="B89"/>
  <c r="S88"/>
  <c r="L87"/>
  <c r="H87"/>
  <c r="J87" s="1"/>
  <c r="G87"/>
  <c r="E87"/>
  <c r="D87"/>
  <c r="S87" s="1"/>
  <c r="C87"/>
  <c r="B87"/>
  <c r="S86"/>
  <c r="L85"/>
  <c r="H85"/>
  <c r="J85" s="1"/>
  <c r="E85"/>
  <c r="C12" i="91" s="1"/>
  <c r="D85" i="86"/>
  <c r="C85"/>
  <c r="B85"/>
  <c r="S84"/>
  <c r="S83"/>
  <c r="L82"/>
  <c r="H82"/>
  <c r="J82" s="1"/>
  <c r="G82"/>
  <c r="E82"/>
  <c r="D82"/>
  <c r="S82" s="1"/>
  <c r="C82"/>
  <c r="B82"/>
  <c r="S81"/>
  <c r="H80"/>
  <c r="J80" s="1"/>
  <c r="G80"/>
  <c r="F80"/>
  <c r="E80"/>
  <c r="D80"/>
  <c r="S80" s="1"/>
  <c r="C80"/>
  <c r="B80"/>
  <c r="S79"/>
  <c r="L78"/>
  <c r="H78"/>
  <c r="J78" s="1"/>
  <c r="G78"/>
  <c r="G602" s="1"/>
  <c r="E78"/>
  <c r="D78"/>
  <c r="S78" s="1"/>
  <c r="C78"/>
  <c r="B78"/>
  <c r="S77"/>
  <c r="S76"/>
  <c r="S75"/>
  <c r="L72"/>
  <c r="H72"/>
  <c r="J72" s="1"/>
  <c r="G72"/>
  <c r="E72"/>
  <c r="D72"/>
  <c r="S72" s="1"/>
  <c r="C72"/>
  <c r="B72"/>
  <c r="S71"/>
  <c r="S70"/>
  <c r="L69"/>
  <c r="H69"/>
  <c r="J69" s="1"/>
  <c r="G69"/>
  <c r="E69"/>
  <c r="D69"/>
  <c r="S69" s="1"/>
  <c r="C69"/>
  <c r="B69"/>
  <c r="S68"/>
  <c r="S67"/>
  <c r="L66"/>
  <c r="H66"/>
  <c r="J66" s="1"/>
  <c r="G66"/>
  <c r="E66"/>
  <c r="D66"/>
  <c r="S66" s="1"/>
  <c r="C66"/>
  <c r="B66"/>
  <c r="S65"/>
  <c r="S64"/>
  <c r="S63"/>
  <c r="S62"/>
  <c r="L60"/>
  <c r="H60"/>
  <c r="J60" s="1"/>
  <c r="G60"/>
  <c r="E60"/>
  <c r="D60"/>
  <c r="S60" s="1"/>
  <c r="C60"/>
  <c r="B60"/>
  <c r="L59"/>
  <c r="H59"/>
  <c r="J59" s="1"/>
  <c r="G59"/>
  <c r="E59"/>
  <c r="D59"/>
  <c r="S59" s="1"/>
  <c r="C59"/>
  <c r="B59"/>
  <c r="S58"/>
  <c r="L57"/>
  <c r="J57"/>
  <c r="G57"/>
  <c r="D57"/>
  <c r="S57" s="1"/>
  <c r="C57"/>
  <c r="B57"/>
  <c r="S56"/>
  <c r="S55"/>
  <c r="L54"/>
  <c r="H54"/>
  <c r="J54" s="1"/>
  <c r="G54"/>
  <c r="D54"/>
  <c r="S54" s="1"/>
  <c r="C54"/>
  <c r="B54"/>
  <c r="S53"/>
  <c r="L52"/>
  <c r="G52"/>
  <c r="E52"/>
  <c r="L51"/>
  <c r="H51"/>
  <c r="G51"/>
  <c r="D51"/>
  <c r="S51" s="1"/>
  <c r="C51"/>
  <c r="C52" s="1"/>
  <c r="B51"/>
  <c r="B52" s="1"/>
  <c r="L50"/>
  <c r="H50"/>
  <c r="J50" s="1"/>
  <c r="G50"/>
  <c r="G588" s="1"/>
  <c r="D50"/>
  <c r="S50" s="1"/>
  <c r="C50"/>
  <c r="B50"/>
  <c r="S49"/>
  <c r="S48"/>
  <c r="L47"/>
  <c r="H47"/>
  <c r="J47" s="1"/>
  <c r="G47"/>
  <c r="G1410" s="1"/>
  <c r="D47"/>
  <c r="S47" s="1"/>
  <c r="C47"/>
  <c r="B47"/>
  <c r="S46"/>
  <c r="S45"/>
  <c r="S44"/>
  <c r="S42"/>
  <c r="L40"/>
  <c r="H40"/>
  <c r="J40" s="1"/>
  <c r="G40"/>
  <c r="D40"/>
  <c r="S40" s="1"/>
  <c r="C40"/>
  <c r="B40"/>
  <c r="S39"/>
  <c r="S38"/>
  <c r="S37"/>
  <c r="S35"/>
  <c r="S33"/>
  <c r="L33"/>
  <c r="M33" s="1"/>
  <c r="S32"/>
  <c r="L31"/>
  <c r="H31"/>
  <c r="J31" s="1"/>
  <c r="G31"/>
  <c r="D31"/>
  <c r="S31" s="1"/>
  <c r="C31"/>
  <c r="B31"/>
  <c r="S30"/>
  <c r="S29"/>
  <c r="S27"/>
  <c r="S25"/>
  <c r="L25"/>
  <c r="M25" s="1"/>
  <c r="S24"/>
  <c r="S22"/>
  <c r="L20"/>
  <c r="H20"/>
  <c r="J20" s="1"/>
  <c r="G20"/>
  <c r="D20"/>
  <c r="S20" s="1"/>
  <c r="C20"/>
  <c r="B20"/>
  <c r="S19"/>
  <c r="S18"/>
  <c r="S17"/>
  <c r="L17"/>
  <c r="M17" s="1"/>
  <c r="G17"/>
  <c r="S16"/>
  <c r="S15"/>
  <c r="L15"/>
  <c r="M15" s="1"/>
  <c r="G15"/>
  <c r="S14"/>
  <c r="S13"/>
  <c r="L13"/>
  <c r="M13" s="1"/>
  <c r="G13"/>
  <c r="S12"/>
  <c r="S11"/>
  <c r="S10"/>
  <c r="S9"/>
  <c r="H916"/>
  <c r="J916" s="1"/>
  <c r="E916"/>
  <c r="H915"/>
  <c r="J915" s="1"/>
  <c r="E915"/>
  <c r="J1693" i="79"/>
  <c r="J1692"/>
  <c r="J1691"/>
  <c r="J1680"/>
  <c r="I1680"/>
  <c r="O1680" s="1"/>
  <c r="P1680" s="1"/>
  <c r="P1683" s="1"/>
  <c r="J1679"/>
  <c r="H1622"/>
  <c r="H1573"/>
  <c r="H1534"/>
  <c r="H1455"/>
  <c r="J1445"/>
  <c r="K1445" s="1"/>
  <c r="M1445" s="1"/>
  <c r="P1445" s="1"/>
  <c r="E1445"/>
  <c r="E1433"/>
  <c r="E1429"/>
  <c r="E1430" s="1"/>
  <c r="I1428"/>
  <c r="O1428" s="1"/>
  <c r="I1427"/>
  <c r="O1427" s="1"/>
  <c r="P1427" s="1"/>
  <c r="I1417"/>
  <c r="O1417" s="1"/>
  <c r="P1417" s="1"/>
  <c r="I1414"/>
  <c r="O1414" s="1"/>
  <c r="P1414" s="1"/>
  <c r="H1371"/>
  <c r="J1326"/>
  <c r="H1289"/>
  <c r="H1225"/>
  <c r="J1212"/>
  <c r="J1211"/>
  <c r="H1171"/>
  <c r="H1133"/>
  <c r="I1127"/>
  <c r="O1127" s="1"/>
  <c r="P1127" s="1"/>
  <c r="I1106"/>
  <c r="O1106" s="1"/>
  <c r="P1106" s="1"/>
  <c r="J1105"/>
  <c r="J1112" s="1"/>
  <c r="H1083"/>
  <c r="H1033"/>
  <c r="J1027"/>
  <c r="K1027" s="1"/>
  <c r="M1027" s="1"/>
  <c r="I1027"/>
  <c r="O1027" s="1"/>
  <c r="E1027"/>
  <c r="H987"/>
  <c r="I964"/>
  <c r="O964" s="1"/>
  <c r="P964" s="1"/>
  <c r="P987" s="1"/>
  <c r="C71" i="90" s="1"/>
  <c r="E941" i="79"/>
  <c r="H919"/>
  <c r="H879"/>
  <c r="H840"/>
  <c r="H793"/>
  <c r="J769"/>
  <c r="K769" s="1"/>
  <c r="M769" s="1"/>
  <c r="P769" s="1"/>
  <c r="J768"/>
  <c r="K768" s="1"/>
  <c r="M768" s="1"/>
  <c r="P768" s="1"/>
  <c r="J767"/>
  <c r="J766"/>
  <c r="I765"/>
  <c r="O765" s="1"/>
  <c r="P765" s="1"/>
  <c r="J764"/>
  <c r="I764"/>
  <c r="O764" s="1"/>
  <c r="P764" s="1"/>
  <c r="I763"/>
  <c r="O763" s="1"/>
  <c r="P763" s="1"/>
  <c r="I762"/>
  <c r="O762" s="1"/>
  <c r="P762" s="1"/>
  <c r="J761"/>
  <c r="I761"/>
  <c r="O761" s="1"/>
  <c r="P761" s="1"/>
  <c r="H747"/>
  <c r="H713"/>
  <c r="H638"/>
  <c r="I623"/>
  <c r="O623" s="1"/>
  <c r="P623" s="1"/>
  <c r="I622"/>
  <c r="O622" s="1"/>
  <c r="P622" s="1"/>
  <c r="I620"/>
  <c r="O620" s="1"/>
  <c r="P620" s="1"/>
  <c r="I619"/>
  <c r="O619" s="1"/>
  <c r="P619" s="1"/>
  <c r="I618"/>
  <c r="O618" s="1"/>
  <c r="P618" s="1"/>
  <c r="I617"/>
  <c r="O617" s="1"/>
  <c r="P617" s="1"/>
  <c r="I616"/>
  <c r="O616" s="1"/>
  <c r="P616" s="1"/>
  <c r="I612"/>
  <c r="O612" s="1"/>
  <c r="P612" s="1"/>
  <c r="I610"/>
  <c r="O610" s="1"/>
  <c r="P610" s="1"/>
  <c r="I607"/>
  <c r="O607" s="1"/>
  <c r="P607" s="1"/>
  <c r="I606"/>
  <c r="O606" s="1"/>
  <c r="P606" s="1"/>
  <c r="I600"/>
  <c r="O600" s="1"/>
  <c r="P600" s="1"/>
  <c r="I592"/>
  <c r="O592" s="1"/>
  <c r="P592" s="1"/>
  <c r="I572"/>
  <c r="O572" s="1"/>
  <c r="P572" s="1"/>
  <c r="I571"/>
  <c r="O571" s="1"/>
  <c r="P571" s="1"/>
  <c r="I570"/>
  <c r="O570" s="1"/>
  <c r="P570" s="1"/>
  <c r="I555"/>
  <c r="O555" s="1"/>
  <c r="P555" s="1"/>
  <c r="I541"/>
  <c r="O541" s="1"/>
  <c r="P541" s="1"/>
  <c r="I529"/>
  <c r="O529" s="1"/>
  <c r="P529" s="1"/>
  <c r="H507"/>
  <c r="I479"/>
  <c r="O479" s="1"/>
  <c r="P479" s="1"/>
  <c r="J478"/>
  <c r="I478"/>
  <c r="O478" s="1"/>
  <c r="P478" s="1"/>
  <c r="J477"/>
  <c r="I477"/>
  <c r="O477" s="1"/>
  <c r="P477" s="1"/>
  <c r="J476"/>
  <c r="J483" s="1"/>
  <c r="K483" s="1"/>
  <c r="M483" s="1"/>
  <c r="P483" s="1"/>
  <c r="I476"/>
  <c r="O476" s="1"/>
  <c r="P476" s="1"/>
  <c r="H462"/>
  <c r="H431"/>
  <c r="H379"/>
  <c r="H346"/>
  <c r="J343"/>
  <c r="I343"/>
  <c r="O343" s="1"/>
  <c r="P343" s="1"/>
  <c r="J232"/>
  <c r="I232"/>
  <c r="O232" s="1"/>
  <c r="P232" s="1"/>
  <c r="J231"/>
  <c r="I231"/>
  <c r="O231" s="1"/>
  <c r="P231" s="1"/>
  <c r="H178"/>
  <c r="H166"/>
  <c r="H122"/>
  <c r="H101"/>
  <c r="H48"/>
  <c r="S394" i="86" l="1"/>
  <c r="B9" i="91"/>
  <c r="M402" i="86"/>
  <c r="M414"/>
  <c r="M444"/>
  <c r="M479"/>
  <c r="M511"/>
  <c r="M667"/>
  <c r="M674"/>
  <c r="M694"/>
  <c r="M699"/>
  <c r="M709"/>
  <c r="M734"/>
  <c r="M737"/>
  <c r="M742"/>
  <c r="M746"/>
  <c r="M757"/>
  <c r="M759"/>
  <c r="M1894"/>
  <c r="C47" i="90" s="1"/>
  <c r="S85" i="86"/>
  <c r="B12" i="91"/>
  <c r="M409" i="86"/>
  <c r="M528"/>
  <c r="M565"/>
  <c r="M568"/>
  <c r="M604"/>
  <c r="M606"/>
  <c r="M621"/>
  <c r="M624"/>
  <c r="M636"/>
  <c r="M652"/>
  <c r="M57"/>
  <c r="M59"/>
  <c r="M72"/>
  <c r="M146"/>
  <c r="M202"/>
  <c r="M209"/>
  <c r="M231"/>
  <c r="M256"/>
  <c r="M305"/>
  <c r="S357"/>
  <c r="B8" i="91"/>
  <c r="M373" i="86"/>
  <c r="M531"/>
  <c r="M154"/>
  <c r="M156"/>
  <c r="M199"/>
  <c r="M259"/>
  <c r="M278"/>
  <c r="M281"/>
  <c r="M288"/>
  <c r="M308"/>
  <c r="M346"/>
  <c r="S346"/>
  <c r="B7" i="91"/>
  <c r="M968" i="86"/>
  <c r="M594"/>
  <c r="M534"/>
  <c r="M495"/>
  <c r="M498"/>
  <c r="M179"/>
  <c r="M92"/>
  <c r="M47"/>
  <c r="M50"/>
  <c r="M54"/>
  <c r="M20"/>
  <c r="M1077"/>
  <c r="M66"/>
  <c r="M78"/>
  <c r="M82"/>
  <c r="M85"/>
  <c r="M87"/>
  <c r="M89"/>
  <c r="M91"/>
  <c r="M104"/>
  <c r="M131"/>
  <c r="M153"/>
  <c r="M155"/>
  <c r="M157"/>
  <c r="M164"/>
  <c r="M185"/>
  <c r="M203"/>
  <c r="M217"/>
  <c r="M221"/>
  <c r="M237"/>
  <c r="M255"/>
  <c r="M267"/>
  <c r="M270"/>
  <c r="M282"/>
  <c r="M314"/>
  <c r="M321"/>
  <c r="M347"/>
  <c r="M352"/>
  <c r="M357"/>
  <c r="M408"/>
  <c r="M413"/>
  <c r="M415"/>
  <c r="M440"/>
  <c r="M443"/>
  <c r="M445"/>
  <c r="M466"/>
  <c r="M473"/>
  <c r="M478"/>
  <c r="M507"/>
  <c r="M522"/>
  <c r="M593"/>
  <c r="M605"/>
  <c r="M612"/>
  <c r="M615"/>
  <c r="M644"/>
  <c r="M681"/>
  <c r="M688"/>
  <c r="M698"/>
  <c r="M715"/>
  <c r="M735"/>
  <c r="M745"/>
  <c r="M756"/>
  <c r="M758"/>
  <c r="M777"/>
  <c r="M784"/>
  <c r="M797"/>
  <c r="M805"/>
  <c r="M839"/>
  <c r="M865"/>
  <c r="M868"/>
  <c r="M893"/>
  <c r="M910"/>
  <c r="M930"/>
  <c r="M932"/>
  <c r="M949"/>
  <c r="M954"/>
  <c r="M969"/>
  <c r="M972"/>
  <c r="M994"/>
  <c r="M1010"/>
  <c r="M1012"/>
  <c r="M1015"/>
  <c r="M1020"/>
  <c r="M1030"/>
  <c r="M1033"/>
  <c r="M1040"/>
  <c r="M1078"/>
  <c r="M40"/>
  <c r="M378"/>
  <c r="M781"/>
  <c r="M31"/>
  <c r="M915"/>
  <c r="M110"/>
  <c r="M116"/>
  <c r="M122"/>
  <c r="M128"/>
  <c r="M145"/>
  <c r="M151"/>
  <c r="M159"/>
  <c r="M161"/>
  <c r="M182"/>
  <c r="M200"/>
  <c r="M212"/>
  <c r="M262"/>
  <c r="M274"/>
  <c r="M277"/>
  <c r="M293"/>
  <c r="M323"/>
  <c r="M326"/>
  <c r="M341"/>
  <c r="M344"/>
  <c r="M349"/>
  <c r="M354"/>
  <c r="M359"/>
  <c r="M371"/>
  <c r="M385"/>
  <c r="M421"/>
  <c r="M439"/>
  <c r="M447"/>
  <c r="M456"/>
  <c r="M459"/>
  <c r="M470"/>
  <c r="M475"/>
  <c r="M504"/>
  <c r="M509"/>
  <c r="M516"/>
  <c r="M573"/>
  <c r="M599"/>
  <c r="M602"/>
  <c r="M609"/>
  <c r="M617"/>
  <c r="M619"/>
  <c r="M639"/>
  <c r="M646"/>
  <c r="M648"/>
  <c r="M650"/>
  <c r="M662"/>
  <c r="M665"/>
  <c r="M683"/>
  <c r="M707"/>
  <c r="M736"/>
  <c r="M741"/>
  <c r="M753"/>
  <c r="M769"/>
  <c r="M801"/>
  <c r="M802"/>
  <c r="M809"/>
  <c r="M812"/>
  <c r="M819"/>
  <c r="M826"/>
  <c r="M853"/>
  <c r="M860"/>
  <c r="M874"/>
  <c r="M885"/>
  <c r="M888"/>
  <c r="M907"/>
  <c r="M911"/>
  <c r="M914"/>
  <c r="M917"/>
  <c r="M919"/>
  <c r="M921"/>
  <c r="M923"/>
  <c r="M933"/>
  <c r="M951"/>
  <c r="M1000"/>
  <c r="M1017"/>
  <c r="M1035"/>
  <c r="M1042"/>
  <c r="M1073"/>
  <c r="M1075"/>
  <c r="P1027" i="79"/>
  <c r="P1033" s="1"/>
  <c r="M60" i="86"/>
  <c r="M69"/>
  <c r="M98"/>
  <c r="M147"/>
  <c r="M150"/>
  <c r="M152"/>
  <c r="M160"/>
  <c r="M162"/>
  <c r="M181"/>
  <c r="M186"/>
  <c r="M211"/>
  <c r="M213"/>
  <c r="M216"/>
  <c r="M220"/>
  <c r="M226"/>
  <c r="M242"/>
  <c r="M261"/>
  <c r="M319"/>
  <c r="M355"/>
  <c r="M365"/>
  <c r="M394"/>
  <c r="M420"/>
  <c r="M441"/>
  <c r="M465"/>
  <c r="M471"/>
  <c r="M476"/>
  <c r="M490"/>
  <c r="M500"/>
  <c r="M505"/>
  <c r="M551"/>
  <c r="M556" s="1"/>
  <c r="C23" i="90" s="1"/>
  <c r="M562" i="86"/>
  <c r="M588"/>
  <c r="M610"/>
  <c r="M638"/>
  <c r="M647"/>
  <c r="M661"/>
  <c r="M669"/>
  <c r="M676"/>
  <c r="M679"/>
  <c r="M696"/>
  <c r="M701"/>
  <c r="M738"/>
  <c r="M743"/>
  <c r="M752"/>
  <c r="M754"/>
  <c r="M770"/>
  <c r="M775"/>
  <c r="M780"/>
  <c r="M808"/>
  <c r="M818"/>
  <c r="M832"/>
  <c r="M837"/>
  <c r="M844"/>
  <c r="M847"/>
  <c r="M909"/>
  <c r="M913"/>
  <c r="M916"/>
  <c r="M918"/>
  <c r="M920"/>
  <c r="M922"/>
  <c r="M926"/>
  <c r="M935"/>
  <c r="M959"/>
  <c r="M962"/>
  <c r="M965"/>
  <c r="M977"/>
  <c r="M999"/>
  <c r="M1038"/>
  <c r="M1048"/>
  <c r="M1072"/>
  <c r="M1135" s="1"/>
  <c r="C33" i="90" s="1"/>
  <c r="M1074" i="86"/>
  <c r="M1978"/>
  <c r="P1133" i="79"/>
  <c r="C74" i="90" s="1"/>
  <c r="P638" i="79"/>
  <c r="C64" i="90" s="1"/>
  <c r="P793" i="79"/>
  <c r="C67" i="90" s="1"/>
  <c r="J1109" i="79"/>
  <c r="P346"/>
  <c r="C59" i="90" s="1"/>
  <c r="M1969" i="86"/>
  <c r="C49" i="90" s="1"/>
  <c r="M1330" i="86"/>
  <c r="C37" i="90" s="1"/>
  <c r="J486" i="79"/>
  <c r="J1110"/>
  <c r="J1111"/>
  <c r="J482"/>
  <c r="J481"/>
  <c r="J485"/>
  <c r="K485" s="1"/>
  <c r="M485" s="1"/>
  <c r="P485" s="1"/>
  <c r="J1106"/>
  <c r="J1427"/>
  <c r="J1428"/>
  <c r="K1428" s="1"/>
  <c r="M1428" s="1"/>
  <c r="P1428" s="1"/>
  <c r="J1429"/>
  <c r="K1429" s="1"/>
  <c r="M1429" s="1"/>
  <c r="P1429" s="1"/>
  <c r="J1430"/>
  <c r="K1430" s="1"/>
  <c r="M1430" s="1"/>
  <c r="P1430" s="1"/>
  <c r="J1431"/>
  <c r="K1431" s="1"/>
  <c r="M1431" s="1"/>
  <c r="P1431" s="1"/>
  <c r="J1432"/>
  <c r="J1433"/>
  <c r="J480"/>
  <c r="J484"/>
  <c r="K484" s="1"/>
  <c r="M484" s="1"/>
  <c r="P484" s="1"/>
  <c r="J1113"/>
  <c r="J479"/>
  <c r="G1573" i="86"/>
  <c r="M1662" s="1"/>
  <c r="C43" i="90" s="1"/>
  <c r="G1074" i="86"/>
  <c r="M1230"/>
  <c r="C35" i="90" s="1"/>
  <c r="J632" i="86"/>
  <c r="M632" s="1"/>
  <c r="J631"/>
  <c r="M631" s="1"/>
  <c r="H740"/>
  <c r="J740" s="1"/>
  <c r="M740" s="1"/>
  <c r="J732"/>
  <c r="M732" s="1"/>
  <c r="H739"/>
  <c r="J739" s="1"/>
  <c r="M739" s="1"/>
  <c r="J733"/>
  <c r="M733" s="1"/>
  <c r="H187"/>
  <c r="J187" s="1"/>
  <c r="M187" s="1"/>
  <c r="J167"/>
  <c r="M167" s="1"/>
  <c r="G256"/>
  <c r="J197"/>
  <c r="M197" s="1"/>
  <c r="H52"/>
  <c r="J52" s="1"/>
  <c r="M52" s="1"/>
  <c r="J51"/>
  <c r="M51" s="1"/>
  <c r="J148"/>
  <c r="M148" s="1"/>
  <c r="J149"/>
  <c r="M149" s="1"/>
  <c r="G255"/>
  <c r="J196"/>
  <c r="M196" s="1"/>
  <c r="J272"/>
  <c r="M272" s="1"/>
  <c r="J273"/>
  <c r="M273" s="1"/>
  <c r="H397"/>
  <c r="J397" s="1"/>
  <c r="M397" s="1"/>
  <c r="J391"/>
  <c r="M391" s="1"/>
  <c r="H501"/>
  <c r="J501" s="1"/>
  <c r="M501" s="1"/>
  <c r="J484"/>
  <c r="M484" s="1"/>
  <c r="H404"/>
  <c r="J403"/>
  <c r="M403" s="1"/>
  <c r="S484"/>
  <c r="D52"/>
  <c r="S52" s="1"/>
  <c r="S732"/>
  <c r="D739"/>
  <c r="S739" s="1"/>
  <c r="S166"/>
  <c r="S167"/>
  <c r="L80"/>
  <c r="S391"/>
  <c r="G1416"/>
  <c r="G2009"/>
  <c r="G1546"/>
  <c r="M1564" s="1"/>
  <c r="C42" i="90" s="1"/>
  <c r="G1351" i="86"/>
  <c r="M1395" s="1"/>
  <c r="C38" i="90" s="1"/>
  <c r="G1153" i="86"/>
  <c r="G793"/>
  <c r="G1850"/>
  <c r="G962"/>
  <c r="G1711"/>
  <c r="M1781" s="1"/>
  <c r="C45" i="90" s="1"/>
  <c r="G1588" i="86"/>
  <c r="G1255"/>
  <c r="M1303" s="1"/>
  <c r="C36" i="90" s="1"/>
  <c r="G1090" i="86"/>
  <c r="G209"/>
  <c r="G270"/>
  <c r="G344"/>
  <c r="G498"/>
  <c r="G1026"/>
  <c r="M541" l="1"/>
  <c r="C22" i="90" s="1"/>
  <c r="M580" i="86"/>
  <c r="C24" i="90" s="1"/>
  <c r="M450" i="86"/>
  <c r="C21" i="90" s="1"/>
  <c r="P507" i="79"/>
  <c r="P1455"/>
  <c r="C79" i="90" s="1"/>
  <c r="M1199" i="86"/>
  <c r="C34" i="90" s="1"/>
  <c r="M1923" i="86"/>
  <c r="C48" i="90" s="1"/>
  <c r="M1814" i="86"/>
  <c r="C46" i="90" s="1"/>
  <c r="M1451" i="86"/>
  <c r="C39" i="90" s="1"/>
  <c r="M170" i="86"/>
  <c r="C15" i="90" s="1"/>
  <c r="M1692" i="86"/>
  <c r="C44" i="90" s="1"/>
  <c r="M938" i="86"/>
  <c r="C29" i="90" s="1"/>
  <c r="M1003" i="86"/>
  <c r="C31" i="90" s="1"/>
  <c r="M190" i="86"/>
  <c r="M762"/>
  <c r="C26" i="90" s="1"/>
  <c r="M1480" i="86"/>
  <c r="C40" i="90" s="1"/>
  <c r="M1540" i="86"/>
  <c r="C41" i="90" s="1"/>
  <c r="M134" i="86"/>
  <c r="C14" i="90" s="1"/>
  <c r="M300" i="86"/>
  <c r="C18" i="90" s="1"/>
  <c r="M249" i="86"/>
  <c r="C17" i="90" s="1"/>
  <c r="M900" i="86"/>
  <c r="C28" i="90" s="1"/>
  <c r="M723" i="86"/>
  <c r="C25" i="90" s="1"/>
  <c r="M985" i="86"/>
  <c r="C30" i="90" s="1"/>
  <c r="M877" i="86"/>
  <c r="C27" i="90" s="1"/>
  <c r="M1056" i="86"/>
  <c r="C32" i="90" s="1"/>
  <c r="M334" i="86"/>
  <c r="C19" i="90" s="1"/>
  <c r="H405" i="86"/>
  <c r="J404"/>
  <c r="M404" s="1"/>
  <c r="C63" i="90" l="1"/>
  <c r="P1733" i="79"/>
  <c r="C16" i="90"/>
  <c r="H406" i="86"/>
  <c r="J405"/>
  <c r="M405" s="1"/>
  <c r="H407" l="1"/>
  <c r="J407" s="1"/>
  <c r="M407" s="1"/>
  <c r="J406"/>
  <c r="M406" s="1"/>
  <c r="M431" l="1"/>
  <c r="C20" i="90" s="1"/>
  <c r="C86" s="1"/>
  <c r="C87" s="1"/>
  <c r="D80" s="1"/>
  <c r="D17" l="1"/>
  <c r="D72"/>
  <c r="D73"/>
  <c r="D61"/>
  <c r="D31"/>
  <c r="D77"/>
  <c r="D36"/>
  <c r="D25"/>
  <c r="D55"/>
  <c r="D41"/>
  <c r="D64"/>
  <c r="D20"/>
  <c r="D67"/>
  <c r="D57"/>
  <c r="D49"/>
  <c r="D69"/>
  <c r="D58"/>
  <c r="D29"/>
  <c r="D37"/>
  <c r="D28"/>
  <c r="D84"/>
  <c r="D78"/>
  <c r="D75"/>
  <c r="D19"/>
  <c r="D33"/>
  <c r="D59"/>
  <c r="D50"/>
  <c r="D81"/>
  <c r="D70"/>
  <c r="D43"/>
  <c r="D32"/>
  <c r="D47"/>
  <c r="D71"/>
  <c r="D45"/>
  <c r="D74"/>
  <c r="D34"/>
  <c r="D30"/>
  <c r="D60"/>
  <c r="D24"/>
  <c r="D46"/>
  <c r="D48"/>
  <c r="D44"/>
  <c r="D76"/>
  <c r="D79"/>
  <c r="D54"/>
  <c r="D18"/>
  <c r="D63"/>
  <c r="D42"/>
  <c r="D65"/>
  <c r="D56"/>
  <c r="D39"/>
  <c r="D66"/>
  <c r="D38"/>
  <c r="D22"/>
  <c r="D68"/>
  <c r="D14"/>
  <c r="D23"/>
  <c r="D26"/>
  <c r="D16"/>
  <c r="AG87" s="1"/>
  <c r="AG88" s="1"/>
  <c r="D82"/>
  <c r="D83"/>
  <c r="D21"/>
  <c r="D62"/>
  <c r="D27"/>
  <c r="D15"/>
  <c r="D35"/>
  <c r="D40"/>
  <c r="M2024" i="86"/>
  <c r="O87" i="90"/>
  <c r="O88" s="1"/>
  <c r="Y87"/>
  <c r="Y88" s="1"/>
  <c r="K87" l="1"/>
  <c r="K88" s="1"/>
  <c r="D87"/>
  <c r="AM87"/>
  <c r="AM88" s="1"/>
  <c r="AE87"/>
  <c r="AE88" s="1"/>
  <c r="W87"/>
  <c r="W88" s="1"/>
  <c r="I87"/>
  <c r="I88" s="1"/>
  <c r="E87"/>
  <c r="F87" s="1"/>
  <c r="AK87"/>
  <c r="AK88" s="1"/>
  <c r="AC87"/>
  <c r="AC88" s="1"/>
  <c r="U87"/>
  <c r="U88" s="1"/>
  <c r="G87"/>
  <c r="G88" s="1"/>
  <c r="Q87"/>
  <c r="Q88" s="1"/>
  <c r="AI87"/>
  <c r="AI88" s="1"/>
  <c r="AA87"/>
  <c r="AA88" s="1"/>
  <c r="M87"/>
  <c r="M88" s="1"/>
  <c r="S87"/>
  <c r="S88" s="1"/>
  <c r="E88" l="1"/>
  <c r="K89" s="1"/>
  <c r="H87"/>
  <c r="J87" s="1"/>
  <c r="L87" s="1"/>
  <c r="N87" s="1"/>
  <c r="P87" s="1"/>
  <c r="R87" s="1"/>
  <c r="T87" s="1"/>
  <c r="V87" s="1"/>
  <c r="X87" s="1"/>
  <c r="Z87" s="1"/>
  <c r="AB87" s="1"/>
  <c r="AD87" s="1"/>
  <c r="AF87" s="1"/>
  <c r="AH87" s="1"/>
  <c r="AJ87" s="1"/>
  <c r="AL87" s="1"/>
  <c r="AN87" s="1"/>
</calcChain>
</file>

<file path=xl/sharedStrings.xml><?xml version="1.0" encoding="utf-8"?>
<sst xmlns="http://schemas.openxmlformats.org/spreadsheetml/2006/main" count="7915" uniqueCount="2562">
  <si>
    <t>2.9</t>
  </si>
  <si>
    <t>2.8</t>
  </si>
  <si>
    <t>MÓDULO DE TRATAMENTO</t>
  </si>
  <si>
    <t>2.7</t>
  </si>
  <si>
    <t>2.6</t>
  </si>
  <si>
    <t>2.5</t>
  </si>
  <si>
    <t>2.4</t>
  </si>
  <si>
    <t>2.3</t>
  </si>
  <si>
    <t>2.2</t>
  </si>
  <si>
    <t>2.1</t>
  </si>
  <si>
    <t>1.11</t>
  </si>
  <si>
    <t>1.10</t>
  </si>
  <si>
    <t>1.9</t>
  </si>
  <si>
    <t>1.8</t>
  </si>
  <si>
    <t>1.7</t>
  </si>
  <si>
    <t>1.6</t>
  </si>
  <si>
    <t>1.5</t>
  </si>
  <si>
    <t>1.4</t>
  </si>
  <si>
    <t>1.3</t>
  </si>
  <si>
    <t>1.2</t>
  </si>
  <si>
    <t>1.1</t>
  </si>
  <si>
    <t>TOTAL - OBRAS CIVIS E SERVIÇOS</t>
  </si>
  <si>
    <t>31.1</t>
  </si>
  <si>
    <t>33.2</t>
  </si>
  <si>
    <t>33.1</t>
  </si>
  <si>
    <t>32.2</t>
  </si>
  <si>
    <t>32.1</t>
  </si>
  <si>
    <t>30.2</t>
  </si>
  <si>
    <t>30.1</t>
  </si>
  <si>
    <t>29.2</t>
  </si>
  <si>
    <t>29.1</t>
  </si>
  <si>
    <t>25.7</t>
  </si>
  <si>
    <t>25.6</t>
  </si>
  <si>
    <t>25.5</t>
  </si>
  <si>
    <t>25.4</t>
  </si>
  <si>
    <t>25.3</t>
  </si>
  <si>
    <t>25.2</t>
  </si>
  <si>
    <t>25.1</t>
  </si>
  <si>
    <t>24.9</t>
  </si>
  <si>
    <t>24.8</t>
  </si>
  <si>
    <t>24.7</t>
  </si>
  <si>
    <t>24.6</t>
  </si>
  <si>
    <t>24.5</t>
  </si>
  <si>
    <t>24.4</t>
  </si>
  <si>
    <t>24.3</t>
  </si>
  <si>
    <t>24.2</t>
  </si>
  <si>
    <t>24.1</t>
  </si>
  <si>
    <t>23.2</t>
  </si>
  <si>
    <t>23.1</t>
  </si>
  <si>
    <t>22.2</t>
  </si>
  <si>
    <t>22.1</t>
  </si>
  <si>
    <t>21.3</t>
  </si>
  <si>
    <t>21.2</t>
  </si>
  <si>
    <t>21.1</t>
  </si>
  <si>
    <t>20.3</t>
  </si>
  <si>
    <t>20.2</t>
  </si>
  <si>
    <t>20.1</t>
  </si>
  <si>
    <t>19.2</t>
  </si>
  <si>
    <t>19.1</t>
  </si>
  <si>
    <t>18.2</t>
  </si>
  <si>
    <t>18.1</t>
  </si>
  <si>
    <t>15.2</t>
  </si>
  <si>
    <t>15.1</t>
  </si>
  <si>
    <t>14.2</t>
  </si>
  <si>
    <t>14.1</t>
  </si>
  <si>
    <t>13.2</t>
  </si>
  <si>
    <t>13.1</t>
  </si>
  <si>
    <t>12.2</t>
  </si>
  <si>
    <t>12.1</t>
  </si>
  <si>
    <t>Item</t>
  </si>
  <si>
    <t>TOTAL</t>
  </si>
  <si>
    <t>m²</t>
  </si>
  <si>
    <t>13.2.1.1</t>
  </si>
  <si>
    <t>13.2.1</t>
  </si>
  <si>
    <t>13.1.1.1</t>
  </si>
  <si>
    <t>13.1.1</t>
  </si>
  <si>
    <t/>
  </si>
  <si>
    <t>12.1.1.1</t>
  </si>
  <si>
    <t>12.1.1</t>
  </si>
  <si>
    <t>11.1.1.1</t>
  </si>
  <si>
    <t>11.1.1</t>
  </si>
  <si>
    <t>11.1</t>
  </si>
  <si>
    <t>10.1.1.1</t>
  </si>
  <si>
    <t>10.1.1</t>
  </si>
  <si>
    <t>10.1</t>
  </si>
  <si>
    <t>9.1.1.1</t>
  </si>
  <si>
    <t>9.1.1</t>
  </si>
  <si>
    <t>9.1</t>
  </si>
  <si>
    <t>8.1.1.1</t>
  </si>
  <si>
    <t>8.1.1</t>
  </si>
  <si>
    <t>8.1</t>
  </si>
  <si>
    <t>7.6</t>
  </si>
  <si>
    <t>m³</t>
  </si>
  <si>
    <t>7.5.3.1</t>
  </si>
  <si>
    <t>7.5.3</t>
  </si>
  <si>
    <t>7.5.2.1</t>
  </si>
  <si>
    <t>7.5.2</t>
  </si>
  <si>
    <t>7.5.1</t>
  </si>
  <si>
    <t>7.5</t>
  </si>
  <si>
    <t>kg</t>
  </si>
  <si>
    <t>7.4.1.1</t>
  </si>
  <si>
    <t>7.4.1</t>
  </si>
  <si>
    <t>7.4</t>
  </si>
  <si>
    <t>7.3.1</t>
  </si>
  <si>
    <t>7.3</t>
  </si>
  <si>
    <t>7.2.1</t>
  </si>
  <si>
    <t>7.2</t>
  </si>
  <si>
    <t>7.1.1.1</t>
  </si>
  <si>
    <t>7.1.1</t>
  </si>
  <si>
    <t>7.1</t>
  </si>
  <si>
    <t>m</t>
  </si>
  <si>
    <t>6.3.1.1</t>
  </si>
  <si>
    <t>6.3.1</t>
  </si>
  <si>
    <t>6.3</t>
  </si>
  <si>
    <t>6.2.1.1</t>
  </si>
  <si>
    <t>6.2.1</t>
  </si>
  <si>
    <t>6.2</t>
  </si>
  <si>
    <t>h</t>
  </si>
  <si>
    <t>6.1.1.1</t>
  </si>
  <si>
    <t>6.1.1</t>
  </si>
  <si>
    <t>6.1</t>
  </si>
  <si>
    <t>5.4.2</t>
  </si>
  <si>
    <t>5.4.1</t>
  </si>
  <si>
    <t>5.4</t>
  </si>
  <si>
    <t>5.3.1.1</t>
  </si>
  <si>
    <t>5.3.1</t>
  </si>
  <si>
    <t>5.3</t>
  </si>
  <si>
    <t>5.2.2.1</t>
  </si>
  <si>
    <t>5.2.2</t>
  </si>
  <si>
    <t>5.2.1.3</t>
  </si>
  <si>
    <t>5.2.1.2</t>
  </si>
  <si>
    <t>5.2.1.1</t>
  </si>
  <si>
    <t>5.2.1</t>
  </si>
  <si>
    <t>5.2</t>
  </si>
  <si>
    <t>5.1.1.1</t>
  </si>
  <si>
    <t>5.1.1</t>
  </si>
  <si>
    <t>5.1</t>
  </si>
  <si>
    <t>4.1.1.1</t>
  </si>
  <si>
    <t>4.1.1</t>
  </si>
  <si>
    <t>4.1</t>
  </si>
  <si>
    <t>C_268-005</t>
  </si>
  <si>
    <t>3.2.1</t>
  </si>
  <si>
    <t>3.2</t>
  </si>
  <si>
    <t>3.1.1</t>
  </si>
  <si>
    <t>3.1</t>
  </si>
  <si>
    <t>C_268-001</t>
  </si>
  <si>
    <t>1.2.1.1</t>
  </si>
  <si>
    <t>1.2.1</t>
  </si>
  <si>
    <t>1.1.3.1</t>
  </si>
  <si>
    <t>1.1.3</t>
  </si>
  <si>
    <t>1.1.2.1</t>
  </si>
  <si>
    <t>1.1.2</t>
  </si>
  <si>
    <t>1.1.1.1</t>
  </si>
  <si>
    <t>1.1.1</t>
  </si>
  <si>
    <t>Preço Unitário C/ BDI (R$)</t>
  </si>
  <si>
    <t>BDI (%)</t>
  </si>
  <si>
    <t>Preço Unitário (R$)</t>
  </si>
  <si>
    <t>Unidade</t>
  </si>
  <si>
    <t>pç.</t>
  </si>
  <si>
    <t>1.10.2</t>
  </si>
  <si>
    <t>1.10.1</t>
  </si>
  <si>
    <t>Aterramento Geral</t>
  </si>
  <si>
    <t>1.9.1</t>
  </si>
  <si>
    <t>Iluminação Externa</t>
  </si>
  <si>
    <t>1.8.4</t>
  </si>
  <si>
    <t>1.8.3</t>
  </si>
  <si>
    <t>1.8.2</t>
  </si>
  <si>
    <t>1.8.1</t>
  </si>
  <si>
    <t>Eletrodutos e afins</t>
  </si>
  <si>
    <t>1.7.13</t>
  </si>
  <si>
    <t>1.7.12</t>
  </si>
  <si>
    <t>1.7.11</t>
  </si>
  <si>
    <t>1.7.10</t>
  </si>
  <si>
    <t>1.7.9</t>
  </si>
  <si>
    <t>1.7.8</t>
  </si>
  <si>
    <t>1.7.7</t>
  </si>
  <si>
    <t>1.7.6</t>
  </si>
  <si>
    <t>1.7.5</t>
  </si>
  <si>
    <t>1.7.4</t>
  </si>
  <si>
    <t>1.7.3</t>
  </si>
  <si>
    <t>1.7.2</t>
  </si>
  <si>
    <t>1.7.1</t>
  </si>
  <si>
    <t>Fios e Cabos</t>
  </si>
  <si>
    <t>cj.</t>
  </si>
  <si>
    <t>E-013</t>
  </si>
  <si>
    <t>E-012</t>
  </si>
  <si>
    <t>E-011</t>
  </si>
  <si>
    <t>E-010</t>
  </si>
  <si>
    <t>E-009</t>
  </si>
  <si>
    <t>E-008</t>
  </si>
  <si>
    <t>COT-E-074</t>
  </si>
  <si>
    <t>Cartucho de pó para solda exotérmica, nº 115, com disco retentor e palito de ignição.</t>
  </si>
  <si>
    <t>1.4.2</t>
  </si>
  <si>
    <t>COT-E-103</t>
  </si>
  <si>
    <t>Molde para solda exotérmica, para cabo de # 50 mm² passante lateral a haste de Ø 3/4", em grafite.</t>
  </si>
  <si>
    <t>1.4.1</t>
  </si>
  <si>
    <t>COT-E-119</t>
  </si>
  <si>
    <t>Suporte para duas luminárias tipo pétala, para poste com Ø de topo 60 mm e apoio de luminárias com Ø 60,3 mm.</t>
  </si>
  <si>
    <t>1.3.2</t>
  </si>
  <si>
    <t>E-030</t>
  </si>
  <si>
    <t>Luminária para iluminação pública tipo pétala, corpo em alumínio fundido, soquete tipo E-40, para lâmpadas de vapor de sódio de alta pressão de 150 W, com vidro plano, completa com lâmpada, reator, ignitor e capacitor para correção do fator de potência.</t>
  </si>
  <si>
    <t>1.3.1</t>
  </si>
  <si>
    <t>Tampão / terminal para eletroduto flexível de PEAD, Ø 6".</t>
  </si>
  <si>
    <t>1.2.8</t>
  </si>
  <si>
    <t>1.2.7</t>
  </si>
  <si>
    <t>1.2.6</t>
  </si>
  <si>
    <t>COT-E-088</t>
  </si>
  <si>
    <t>Eletroduto flexível de PEAD com corrugação anelar ou helicoidal, Ø 6".</t>
  </si>
  <si>
    <t>1.2.5</t>
  </si>
  <si>
    <t>COT-E-023</t>
  </si>
  <si>
    <t>Eletroduto flexível de PEAD com corrugação anelar ou helicoidal, Ø 4".</t>
  </si>
  <si>
    <t>1.2.4</t>
  </si>
  <si>
    <t>1.2.3</t>
  </si>
  <si>
    <t>1.2.2</t>
  </si>
  <si>
    <t>COT-E-055</t>
  </si>
  <si>
    <t>Cabo para controle / instrumentação, condutores de cobre, classe 300 V, isolação em composto termoplástico tipo PVC, blindagem coletiva por malha de cobre. Uma (1) terna de seção nominal 1,0 mm².</t>
  </si>
  <si>
    <t>1.1.12</t>
  </si>
  <si>
    <t>COT-E-054</t>
  </si>
  <si>
    <t>Cabo para controle / instrumentação, condutores de cobre, classe 300 V, isolação em composto termoplástico tipo PVC, blindagem coletiva por malha de cobre. Três (3) pares de seção nominal 1,0 mm².</t>
  </si>
  <si>
    <t>1.1.11</t>
  </si>
  <si>
    <t>COT-E-007</t>
  </si>
  <si>
    <t>Cabo multipolar de cobre, classe 0,6/ 1 kV, isolação em composto termofixo tipo EPR colorido, enchimento em composto termoplástico tipo PVC, cobertura em composto termoplástico tipo PVC preto, veias distintas pela cor. Quatro veias de seção nominal 35 mm².</t>
  </si>
  <si>
    <t>1.1.10</t>
  </si>
  <si>
    <t>COT-E-004</t>
  </si>
  <si>
    <t>Cabo multipolar de cobre, classe 0,6/ 1 kV, isolação em composto termofixo tipo EPR colorido, enchimento em composto termoplástico tipo PVC, cobertura em composto termoplástico tipo PVC preto, veias distintas pela cor. Quatro veias de seção nominal 16 mm².</t>
  </si>
  <si>
    <t>1.1.9</t>
  </si>
  <si>
    <t>COT-E-003</t>
  </si>
  <si>
    <t>Cabo multipolar de cobre, classe 0,6/ 1 kV, isolação em composto termofixo tipo EPR colorido, enchimento em composto termoplástico tipo PVC, cobertura em composto termoplástico tipo PVC preto, veias distintas pela cor. Quatro veias de seção nominal 10 mm².</t>
  </si>
  <si>
    <t>1.1.8</t>
  </si>
  <si>
    <t>COT-E-005</t>
  </si>
  <si>
    <t>Cabo multipolar de cobre, classe 0,6/ 1 kV, isolação em composto termofixo tipo EPR colorido, enchimento em composto termoplástico tipo PVC, cobertura em composto tipo termoplástico PVC preto, veias distintas pela cor. Quatro veias de seção nominal 2,5 mm².</t>
  </si>
  <si>
    <t>1.1.7</t>
  </si>
  <si>
    <t>COT-E-008</t>
  </si>
  <si>
    <t>Cabo multipolar de cobre, classe 0,6/ 1 kV, isolação em composto termofixo tipo EPR colorido, enchimento em composto termoplástico tipo PVC, cobertura em composto termoplástico tipo PVC preto, veias distintas pela cor. Três veias de seção nominal 10 mm².</t>
  </si>
  <si>
    <t>1.1.6</t>
  </si>
  <si>
    <t>COT-E-051</t>
  </si>
  <si>
    <t>Cabo multipolar de cobre, classe 0,6/ 1 kV, isolação em composto termofixo tipo EPR colorido, enchimento em composto termoplástico tipo PVC, cobertura em composto termoplástico tipo PVC preto, veias distintas pela cor. Três veias de seção nominal 6 mm².</t>
  </si>
  <si>
    <t>1.1.5</t>
  </si>
  <si>
    <t>COT-E-050</t>
  </si>
  <si>
    <t>Cabo multipolar de cobre, classe 0,6/ 1 kV, isolação em composto termofixo tipo EPR colorido, enchimento em composto termoplástico tipo PVC, cobertura em composto termoplástico tipo PVC preto, veias distintas pela cor. Três veias de seção nominal 4 mm².</t>
  </si>
  <si>
    <t>1.1.4</t>
  </si>
  <si>
    <t>COT-E-049</t>
  </si>
  <si>
    <t>Cabo multipolar de cobre, classe 0,6/ 1 kV, isolação em composto termofixo tipo EPR colorido, enchimento em composto termoplástico tipo PVC, cobertura em composto termoplástico tipo PVC preto, veias distintas pela cor. Três veias de seção nominal 1,5 mm².</t>
  </si>
  <si>
    <t>COT-E-052</t>
  </si>
  <si>
    <t>Cabo multipolar de cobre, classe 750V, isolação em composto termofixo tipo EPR colorido, enchimento em composto termoplástico tipo PVC, cobertura em composto termoplástico tipo PVC preto, veias distintas pela cor. Três veias de seção nominal 2,5mm².</t>
  </si>
  <si>
    <t>Fornecimento de Materiais e Equipamentos Elétricos, de Automação e Diversos - Distribuição Geral</t>
  </si>
  <si>
    <t>pç</t>
  </si>
  <si>
    <t>Aterramento</t>
  </si>
  <si>
    <t>Materiais Elétricos de Baixa Tensão</t>
  </si>
  <si>
    <t>1.6.1</t>
  </si>
  <si>
    <t>E-001</t>
  </si>
  <si>
    <t>E-002</t>
  </si>
  <si>
    <t>Massa de calafetar para vedação.</t>
  </si>
  <si>
    <t>Vedação</t>
  </si>
  <si>
    <t>COT-E-105</t>
  </si>
  <si>
    <t>Parafuso de cabeça abaulada M16x115mm.</t>
  </si>
  <si>
    <t>COT-E-043</t>
  </si>
  <si>
    <t>Arruela quadrada de 58mm com furo de ø 18mm.</t>
  </si>
  <si>
    <t>COT-E-042</t>
  </si>
  <si>
    <t>Arruela quadrada de 34mm com furo de ø 12mm.</t>
  </si>
  <si>
    <t>Ferragens</t>
  </si>
  <si>
    <t>COT-E-071</t>
  </si>
  <si>
    <t>Caixa de proteção para disjuntor, tipo "T", conforme padrões da concessionária local.</t>
  </si>
  <si>
    <t>1.6.3</t>
  </si>
  <si>
    <t>Caixa de proteção, conforme padrões da concessionária local.</t>
  </si>
  <si>
    <t>1.6.2</t>
  </si>
  <si>
    <t>Caixa de proteção para medidor horo-sazonal, tipo "M", conforme padrões da concessionária local.</t>
  </si>
  <si>
    <t>Caixas Padrão Concessionária</t>
  </si>
  <si>
    <t>COT-E-057</t>
  </si>
  <si>
    <t>Caixa de inspeção do terra com tampa, Ø250 mm.</t>
  </si>
  <si>
    <t>1.5.1</t>
  </si>
  <si>
    <t>1.4.8</t>
  </si>
  <si>
    <t>1.4.7</t>
  </si>
  <si>
    <t>Curva de 135º para eletroduto de PVC rígido roscável, Ø 4".</t>
  </si>
  <si>
    <t>1.4.6</t>
  </si>
  <si>
    <t>1.4.5</t>
  </si>
  <si>
    <t>Bucha/arruela para eletroduto de PVC, Ø 1".</t>
  </si>
  <si>
    <t>1.4.4</t>
  </si>
  <si>
    <t>COT-E-046</t>
  </si>
  <si>
    <t>Bucha/arruela para eletroduto de PVC rígido roscável, Ø 4".</t>
  </si>
  <si>
    <t>1.4.3</t>
  </si>
  <si>
    <t>Isolador roldana para o neutro da concessionária</t>
  </si>
  <si>
    <t>COT-E-086</t>
  </si>
  <si>
    <t>Disjuntor termomagnético tripolar em caixa moldada, ajustável, corrente nominal de 630 A, tensão máxima de operação 690 Vca.</t>
  </si>
  <si>
    <t>Equipamentos de Baixa Tensão</t>
  </si>
  <si>
    <t>COT-E-123</t>
  </si>
  <si>
    <t>Suporte reforçado para fixação de transformador, 285 mm.</t>
  </si>
  <si>
    <t>1.2.13</t>
  </si>
  <si>
    <t>COT-E-121</t>
  </si>
  <si>
    <t>Suporte para fixação de pára-raio e corta circuíto fusível ("Suporte tipo Z").</t>
  </si>
  <si>
    <t>1.2.12</t>
  </si>
  <si>
    <t>COT-E-120</t>
  </si>
  <si>
    <t>Suporte para escada</t>
  </si>
  <si>
    <t>1.2.11</t>
  </si>
  <si>
    <t>COT-E-116</t>
  </si>
  <si>
    <t>Sela para cruzeta de madeira</t>
  </si>
  <si>
    <t>1.2.10</t>
  </si>
  <si>
    <t>1.2.9</t>
  </si>
  <si>
    <t>COT-E-099</t>
  </si>
  <si>
    <t>Mão francesa plana</t>
  </si>
  <si>
    <t>COT-E-077</t>
  </si>
  <si>
    <t>Conector paralelo de bronze estanhado</t>
  </si>
  <si>
    <t>Materiais Elétricos de Média Tensão</t>
  </si>
  <si>
    <t>un</t>
  </si>
  <si>
    <t>COT-E-032</t>
  </si>
  <si>
    <t>Poste de concreto armado circular 11,00m x 1000daN.</t>
  </si>
  <si>
    <t>Poste de concreto circular</t>
  </si>
  <si>
    <t>Fornecimento de Materiais e Equipamentos Elétricos, de Automação e Diversos - Poste de Entrada</t>
  </si>
  <si>
    <t>C_268-010</t>
  </si>
  <si>
    <t>2.4.1.2</t>
  </si>
  <si>
    <t>2.4.1.1</t>
  </si>
  <si>
    <t>2.4.1</t>
  </si>
  <si>
    <t>2.3.1.2</t>
  </si>
  <si>
    <t>2.3.1.1</t>
  </si>
  <si>
    <t>2.3.1</t>
  </si>
  <si>
    <t>2.2.3</t>
  </si>
  <si>
    <t>2.2.2</t>
  </si>
  <si>
    <t>2.2.1</t>
  </si>
  <si>
    <t>2.2.1.1</t>
  </si>
  <si>
    <t>1.4.1.1</t>
  </si>
  <si>
    <t>1.1.1.2</t>
  </si>
  <si>
    <t>COT-H-350</t>
  </si>
  <si>
    <t>Escada L=1,75 m, em fibra de vidro. Conforme Especificação da SABESP Nº 0100-400-E66.</t>
  </si>
  <si>
    <t>00021075</t>
  </si>
  <si>
    <t>Tampão em ferro fundido, Ø 900 mm.</t>
  </si>
  <si>
    <t>Materiais Diversos</t>
  </si>
  <si>
    <t>cj</t>
  </si>
  <si>
    <t>C_268-063</t>
  </si>
  <si>
    <t xml:space="preserve">Acessório para flanges enterradas, Ø 400 mm </t>
  </si>
  <si>
    <t>C_268-044</t>
  </si>
  <si>
    <t>Acessórios para flanges Ø 400 mm, composto por uma arruela e 16 parafusos por junta, diâmetro do parafuso: 24 mm e 100 mm de comprimento</t>
  </si>
  <si>
    <t>COT-H-430</t>
  </si>
  <si>
    <t>Toco com flanges, aba de vedação Ø 400mm, L= 0,70 m, ISO  2531 PN- 10.</t>
  </si>
  <si>
    <t>COT-H-348</t>
  </si>
  <si>
    <t>Junta de desmontagem travada axialmente, com flanges, Ø 400 mm. Conforme ISO 2531 PN - 10.</t>
  </si>
  <si>
    <t>Conexões em Ferro Fundido</t>
  </si>
  <si>
    <t>COT-H-435</t>
  </si>
  <si>
    <t>Tubo com flanges Ø 400 mm, L= 0,50 m. Conforme ISO 2531 PN- 10.</t>
  </si>
  <si>
    <t>COT-H-434</t>
  </si>
  <si>
    <t>Tubo com flanges Ø 400 mm, l= 0,80 m, FºFº, flanges conforme ISO 2531 PN - 10.</t>
  </si>
  <si>
    <t>Tubulação em Ferro Fundido</t>
  </si>
  <si>
    <t>Caixa de Abrigo para Medidor de Vazão</t>
  </si>
  <si>
    <t>Fornecimento de Materiais e Equipamentos Hidráulicos, Hidromecânicos e Diversos</t>
  </si>
  <si>
    <t>3.1.1.1</t>
  </si>
  <si>
    <t>2.5.1.2</t>
  </si>
  <si>
    <t>2.5.1.1</t>
  </si>
  <si>
    <t>2.5.1</t>
  </si>
  <si>
    <t>2.3.2</t>
  </si>
  <si>
    <t>2.1.1</t>
  </si>
  <si>
    <t>Bucha de redução sextavada ∅1/2" x ∅1" em aço inox tp 304. Conforme Norma A351/06</t>
  </si>
  <si>
    <t>1.6.8</t>
  </si>
  <si>
    <t>Bujão de cabeça sextavada ∅1/2" classe 150 psi em aço inox tp 304. Conforme Norma A351/06</t>
  </si>
  <si>
    <t>1.6.7</t>
  </si>
  <si>
    <t>Bujão de cabeça sextavada ∅2" classe 150 psi em aço inox tp 304. Conforme Norma A351/06</t>
  </si>
  <si>
    <t>1.6.6</t>
  </si>
  <si>
    <t>Braçadeira  para fixação de tubulação ∅2" em aço inox</t>
  </si>
  <si>
    <t>1.6.5</t>
  </si>
  <si>
    <t>Braçadeira para fixação de tubulação ∅1/2" em aço inox</t>
  </si>
  <si>
    <t>1.6.4</t>
  </si>
  <si>
    <t>C_268-045</t>
  </si>
  <si>
    <t>Conjunto de parafusos, porcas e arruela de borracha para montagem de flanges ISO 2531 classe PN-10, Ø 500mm.</t>
  </si>
  <si>
    <t>Conjunto de parafusos, porcas e arruela de borracha para montagem de flanges ISO 2531 classe PN-10, Ø 400mm.</t>
  </si>
  <si>
    <t>COT-H-015</t>
  </si>
  <si>
    <t>Guarda corpo h = 1,10 m em perfis estruturais em resina éster vinílica pultrudada reforçada com fibra de vidro.</t>
  </si>
  <si>
    <t>Tê ∅2" classe 150 psi em aço inox tp 304. Conforme Norma A351/06</t>
  </si>
  <si>
    <t>1.5.4</t>
  </si>
  <si>
    <t>Curva 90º ∅2" classe 150 psi em aço inox tp 304. Conforme Norma A351/06</t>
  </si>
  <si>
    <t>1.5.3</t>
  </si>
  <si>
    <t>Tê ∅1" x ∅1" classe 150 psi em aço inox tp 304. Conforme Norma A351/06</t>
  </si>
  <si>
    <t>1.5.2</t>
  </si>
  <si>
    <t>Curva 90º ∅1/2" classe 150 psi em aço inox tp 304. Conforme Norma A351/06</t>
  </si>
  <si>
    <t>Conexões em aço inox</t>
  </si>
  <si>
    <t>Tubo com roscas ∅1" classe 150 psi em aço inox tp 304. Conforme Norma A351/06</t>
  </si>
  <si>
    <t>Tubo com roscas ∅2" classe 150 psi, 10 ∅10mm em aço inox tp 304. Conforme Norma A351/06</t>
  </si>
  <si>
    <t>Tubo com roscas ∅1/2" classe 150 psiem aço inox tp 304. Conforme Norma A351/06</t>
  </si>
  <si>
    <t xml:space="preserve">Tubulação em aço inox - chegada dos produtos químicos </t>
  </si>
  <si>
    <t>COT-H-014</t>
  </si>
  <si>
    <t>Curva 90º c/ flanges ISO 2531 PN-10, Ø400mm, conforme NBR 7675.</t>
  </si>
  <si>
    <t>1.3.7</t>
  </si>
  <si>
    <t>COT-H-013</t>
  </si>
  <si>
    <t>Redução concêntrica  com flanges Ø 500mm x Ø 400mm  ISO 2531 PN-10.</t>
  </si>
  <si>
    <t>1.3.6</t>
  </si>
  <si>
    <t>COT-H-012</t>
  </si>
  <si>
    <t>Tê com flangesØ 500mm, conforme NBR 7675 - ISO 2531 PN-10.</t>
  </si>
  <si>
    <t>1.3.5</t>
  </si>
  <si>
    <t>COT-H-011</t>
  </si>
  <si>
    <t>Curva 90º c/ bolsas ISO 2531 PN-10, Ø500mm, conforme NBR 7675.</t>
  </si>
  <si>
    <t>1.3.4</t>
  </si>
  <si>
    <t>COT-H-010</t>
  </si>
  <si>
    <t>Extremidade ponta e flange c/ aba de vedação Ø500mm. Flange conf. ISO 2531 PN-10.</t>
  </si>
  <si>
    <t>1.3.3</t>
  </si>
  <si>
    <t>COT-H-009</t>
  </si>
  <si>
    <t>Extremidade ponta e flange c/ aba de vedação Ø400mm. Flange conf. ISO 2531 PN-10.</t>
  </si>
  <si>
    <t>COT-H-008</t>
  </si>
  <si>
    <t>Curva 90º c/ bolsas ISO 2531 PN-10, Ø400mm, conforme NBR 7675.</t>
  </si>
  <si>
    <t>Tubo c/  flanges Ø 400mm, l = 0,55 m, ISO 2531 PN-10, conforme NBR 7675.</t>
  </si>
  <si>
    <t>COT-H-006</t>
  </si>
  <si>
    <t>Tubo c/  flanges Ø 400mm, l = 1,41m, ISO 2531 PN-10, conforme NBR 7675.</t>
  </si>
  <si>
    <t>COT-H-005</t>
  </si>
  <si>
    <t>Tubo c/ ponta e  flange  Ø 400mm, l = 1,25 m, ISO 2531 PN-10,conforme NBR 7675.</t>
  </si>
  <si>
    <t>COT-H-004</t>
  </si>
  <si>
    <t xml:space="preserve">Tubo c/ pontas Ø 500mm,  l = 2,35 m </t>
  </si>
  <si>
    <t>COT-H-003</t>
  </si>
  <si>
    <t>Tubo c/ ponta e  flange Ø 500mm, l =3,80 m, ISO 2531 PN-10, conforme NBR 7675.</t>
  </si>
  <si>
    <t>COT-H-002</t>
  </si>
  <si>
    <t>Tubo c/ ponta e  flange Ø 400mm, l = 3,90 m, ISO 2531 PN-10, conforme NBR 7675.</t>
  </si>
  <si>
    <t>COT-H-001</t>
  </si>
  <si>
    <t>Registro de gaveta c/ flanges ISO 2531 classe PN-10, corpo curto e cunha de borracha,  Ø400mm, acionamento manual por volante.</t>
  </si>
  <si>
    <t>Válvula, Registros e Comportas</t>
  </si>
  <si>
    <t>Estrutura de Chegada</t>
  </si>
  <si>
    <t>4.3</t>
  </si>
  <si>
    <t>4.2</t>
  </si>
  <si>
    <t>3.3.1.1</t>
  </si>
  <si>
    <t>3.3.1</t>
  </si>
  <si>
    <t>3.3</t>
  </si>
  <si>
    <t>3.1.2.1</t>
  </si>
  <si>
    <t>3.1.2</t>
  </si>
  <si>
    <t>2.1.1.1</t>
  </si>
  <si>
    <t>000001332</t>
  </si>
  <si>
    <t>Chapa de aço Grossa Preta 3/8"  74,695 Kg / m²</t>
  </si>
  <si>
    <t>Plataforma Metálica entre os floculadores e a estrutura de chegada</t>
  </si>
  <si>
    <t>9.4</t>
  </si>
  <si>
    <t>9.3</t>
  </si>
  <si>
    <t>9.2</t>
  </si>
  <si>
    <t>8.1.2</t>
  </si>
  <si>
    <t>7.2.1.3</t>
  </si>
  <si>
    <t>7.2.1.2</t>
  </si>
  <si>
    <t>7.2.1.1</t>
  </si>
  <si>
    <t>COT-H-050</t>
  </si>
  <si>
    <t>7.1.9</t>
  </si>
  <si>
    <t>7.1.8</t>
  </si>
  <si>
    <t>7.1.7</t>
  </si>
  <si>
    <t>7.1.6</t>
  </si>
  <si>
    <t>7.1.5</t>
  </si>
  <si>
    <t>7.1.4</t>
  </si>
  <si>
    <t>7.1.3</t>
  </si>
  <si>
    <t>7.1.2</t>
  </si>
  <si>
    <t>4.1.2</t>
  </si>
  <si>
    <t>1.5.3.1</t>
  </si>
  <si>
    <t>1.3.3.1</t>
  </si>
  <si>
    <t>Iluminação</t>
  </si>
  <si>
    <t>Eletrodutos e Afins</t>
  </si>
  <si>
    <t>E-014</t>
  </si>
  <si>
    <t>E-020</t>
  </si>
  <si>
    <t>Drenagem Subestrutural</t>
  </si>
  <si>
    <t>COT-H-130</t>
  </si>
  <si>
    <t>Estrutura metálica leve para suporte da cobertura da Galeria de Comandos dimensões 14,55 x 8,10 x h=3,00(mínimo).</t>
  </si>
  <si>
    <t>3.9.3</t>
  </si>
  <si>
    <t>COT-H-129</t>
  </si>
  <si>
    <t>Escada caracol metálica para acesso à laje da galeria dos filtros (diâmetro 1,50m, altura=5,7m).</t>
  </si>
  <si>
    <t>3.9.2</t>
  </si>
  <si>
    <t>COT-H-128</t>
  </si>
  <si>
    <t>Escada metálica de acesso à laje da galeria dos filtros (7,50 X 1,00 m, altura=4,7m).</t>
  </si>
  <si>
    <t>3.9.1</t>
  </si>
  <si>
    <t>Estruturas em Aço Carbono</t>
  </si>
  <si>
    <t>3.9</t>
  </si>
  <si>
    <t>Guarda-Corpo h=1,10m.</t>
  </si>
  <si>
    <t>3.8.2</t>
  </si>
  <si>
    <t>Stop-Log, dimensões: 0,76m x 0,55m.</t>
  </si>
  <si>
    <t>3.8.1</t>
  </si>
  <si>
    <t>Materiais em Fibra de Vidro Pultrudada</t>
  </si>
  <si>
    <t>3.8</t>
  </si>
  <si>
    <t>COT-H-126</t>
  </si>
  <si>
    <t>Haste com rosca e boca de chave, Ø 2", l=3,65m.</t>
  </si>
  <si>
    <t>3.7.7</t>
  </si>
  <si>
    <t>COT-H-125</t>
  </si>
  <si>
    <t>Haste com rosca e boca de chave, Ø 2", l=2,28m.</t>
  </si>
  <si>
    <t>3.7.6</t>
  </si>
  <si>
    <t>Haste com duas roscas, Ø 2", L = 2 95 m.</t>
  </si>
  <si>
    <t>3.7.5</t>
  </si>
  <si>
    <t>COT-H-123</t>
  </si>
  <si>
    <t>Haste com rosca e boca de chave, Ø 2", l=4,60m.</t>
  </si>
  <si>
    <t>3.7.4</t>
  </si>
  <si>
    <t>COT-H-122</t>
  </si>
  <si>
    <t>Haste com rosca e boca de chave, Ø 1 1/8", l=2,93m.</t>
  </si>
  <si>
    <t>3.7.3</t>
  </si>
  <si>
    <t>COT-H-121</t>
  </si>
  <si>
    <t>Haste com rosca e boca de chave, Ø 1 1/8", l=1,80m.</t>
  </si>
  <si>
    <t>3.7.2</t>
  </si>
  <si>
    <t>COT-H-120</t>
  </si>
  <si>
    <t>Haste com rosca e boca de chave, Ø 1 1/8", l=1,32m.</t>
  </si>
  <si>
    <t>3.7.1</t>
  </si>
  <si>
    <t>Materiais em Ferro Trefilado</t>
  </si>
  <si>
    <t>3.7</t>
  </si>
  <si>
    <t>COT-H-119</t>
  </si>
  <si>
    <t>Redução Concêntrica Ø20" x 16" c/ pontas biseladas p/ solda, e= 1/4", Aço Carbono ASTM A283, revestimento conforme AWWA C-210</t>
  </si>
  <si>
    <t>3.6.16</t>
  </si>
  <si>
    <t>COT-H-118</t>
  </si>
  <si>
    <t>Flange cego, Ø20"(500mm), Aço Carbono ASTM A 181, conf norma DIN 2476, aço carbono AWWA C-200, revestimento conf. AWWA C-210</t>
  </si>
  <si>
    <t>3.6.15</t>
  </si>
  <si>
    <t>COT-H-041</t>
  </si>
  <si>
    <t>Flange liso para solda, Ø 20"(500mm), Aço Carbono ASTM A 181, conf norma DIN 2476, norma AWWA C-200, revestimento conf. AWWW C-210</t>
  </si>
  <si>
    <t>3.6.14</t>
  </si>
  <si>
    <t>Tê com pontas biseladas para solda, Ø 20", e=1/4", Aço Carbono ASTM A283, revestimento conforme AWWA C-210</t>
  </si>
  <si>
    <t>3.6.13</t>
  </si>
  <si>
    <t>COT-H-116</t>
  </si>
  <si>
    <t>Flange liso para solda Ø 16".</t>
  </si>
  <si>
    <t>3.6.9</t>
  </si>
  <si>
    <t>3.6.6</t>
  </si>
  <si>
    <t>COT-H-115</t>
  </si>
  <si>
    <t>Curva 90º com pontas biseladas para solda, 4 gomos, Ø 24", e = 1/4", Aço Carbono ASTM A283, revestimento conforme AWWA C-210</t>
  </si>
  <si>
    <t>3.6.8</t>
  </si>
  <si>
    <t>COT-H-114</t>
  </si>
  <si>
    <t>Flange liso para solda Ø 24", Aço Carbono, revestimento conforme AWWA C-210</t>
  </si>
  <si>
    <t>3.6.7</t>
  </si>
  <si>
    <t>COT-H-113</t>
  </si>
  <si>
    <t>Flange liso para solda Ø 2", Aço Carbono, revestimento conforme AWWA C-210</t>
  </si>
  <si>
    <t>COT-H-112</t>
  </si>
  <si>
    <t>Flange liso para solda Ø 2.1/2", Aço Carbono, revestimento conforme AWWA C-210</t>
  </si>
  <si>
    <t>3.6.5</t>
  </si>
  <si>
    <t>COT-H-109</t>
  </si>
  <si>
    <t>Tê de redução com pontas biseladas para solda, Ø 6" x 2.1/2", Aço Carbono, e = SCH STD, revestimento conf. AWWA C-210</t>
  </si>
  <si>
    <t>3.6.4</t>
  </si>
  <si>
    <t>COT-H-108</t>
  </si>
  <si>
    <t>Curva 90º com pontas biseladas para solda, raio longo, Ø 6", Aço Carbono, e = SCH STD, revestimento conf. AWWA C-210</t>
  </si>
  <si>
    <t>3.6.3</t>
  </si>
  <si>
    <t>3.6.2</t>
  </si>
  <si>
    <t>COT-H-040</t>
  </si>
  <si>
    <t>Flange liso para solda Ø 6",  conf norma DIN 2476, aço carbono, revestimento conf. AWWW C-210</t>
  </si>
  <si>
    <t>COT-H-105</t>
  </si>
  <si>
    <t>Curva 22º30" com pontas biseladas para solda, 3 gomos, Ø 20", e = 1/4", Aco Carbono ASTM A-283, revestimento conforme AWWA C-210</t>
  </si>
  <si>
    <t>3.6.1</t>
  </si>
  <si>
    <t>Conexões em Aço Carbono</t>
  </si>
  <si>
    <t>3.6</t>
  </si>
  <si>
    <t>Tubo Ø2.1/2" (63,5 mm), l=0,64 m, Aço Carbono Conforme Norma DIN 2440, acabamento galvanizado, classe leve</t>
  </si>
  <si>
    <t>3.5.9</t>
  </si>
  <si>
    <t>Tubo com pontas biseladas para solda , Ø20" (500mm), l=0,62 m, e=1/4", Aco Carbono ASTM A-283, AWWA C-200, revestimento conforme AWWA C-210</t>
  </si>
  <si>
    <t>3.5.8</t>
  </si>
  <si>
    <t>COT-H-104</t>
  </si>
  <si>
    <t>Tubo com pontas biseladas para solda , Ø20" (500mm), l= 1,0m, e=1/4", Aco Carbono ASTM A-283, AWWA C-200, revestimento conforme AWWA C-210</t>
  </si>
  <si>
    <t>3.5.7</t>
  </si>
  <si>
    <t>COT-H-103</t>
  </si>
  <si>
    <t>Tubo com pontas biseladas para solda, Ø20" (500mm), l= 14,50m, e=1/4", Aco Carbono ASTM A-283, AWWA C-200, revestimento conforme AWWA C-210</t>
  </si>
  <si>
    <t>3.5.6</t>
  </si>
  <si>
    <t>COT-H-102</t>
  </si>
  <si>
    <t>Tubo com pontas biseladas para solda, Ø 2", L=0,87m, e = 1/4", Aco Carbono, revestimento conforme AWWA C-210</t>
  </si>
  <si>
    <t>3.5.5</t>
  </si>
  <si>
    <t>COT-H-101</t>
  </si>
  <si>
    <t>Tubo com pontas biseladas para solda e aba de vedação, Ø 2", L = 0,40m, e = 1/4"  Aco Carbono, revestimento conforme AWWA C-210</t>
  </si>
  <si>
    <t>3.5.4</t>
  </si>
  <si>
    <t>3.5.3</t>
  </si>
  <si>
    <t>COT-H-100</t>
  </si>
  <si>
    <t>Tubo com pontas biseladas para solda, Ø 6", e=4,8mm, Aco Carbono, AWWA C-200, revestimento conforme AWWA C-210</t>
  </si>
  <si>
    <t>COT-H-098</t>
  </si>
  <si>
    <t>Tubo com pontas biseladas para solda, Ø 20", L = 0,27m, e = 1/4", Aco Carbono ASTM A-283, AWWA C-200, revestimento conforme AWWA C-210</t>
  </si>
  <si>
    <t>3.5.2</t>
  </si>
  <si>
    <t>COT-H-097</t>
  </si>
  <si>
    <t>Tubo com pontas biseladas para solda, Ø 24", L = 1,82m, e = 1/4", ", Aco Carbono, revestimento conforme AWWA C-210</t>
  </si>
  <si>
    <t>3.5.1</t>
  </si>
  <si>
    <t>Tubulação em Aço Carbono</t>
  </si>
  <si>
    <t>3.5</t>
  </si>
  <si>
    <t>COT-H-096</t>
  </si>
  <si>
    <t>Pedestal de suspensão com engrenagens, redução simples e indicador de posição. Para Adufa de Ø 500 mm</t>
  </si>
  <si>
    <t>3.4.3</t>
  </si>
  <si>
    <t>COT-H-095</t>
  </si>
  <si>
    <t>Adufa de parede Ø 500mm.</t>
  </si>
  <si>
    <t>3.4.2</t>
  </si>
  <si>
    <t>COT-H-094</t>
  </si>
  <si>
    <t>3.4.1</t>
  </si>
  <si>
    <t>Adufas, Comportas e Pedestais</t>
  </si>
  <si>
    <t>3.4</t>
  </si>
  <si>
    <t>COT-H-092</t>
  </si>
  <si>
    <t>Curva de 90º c/ flanges, Ø 50mm.</t>
  </si>
  <si>
    <t>3.3.22</t>
  </si>
  <si>
    <t>COT-H-091</t>
  </si>
  <si>
    <t>Acessórios para válvula borboleta tipo WAFER ou LUG Ø 500mm.</t>
  </si>
  <si>
    <t>3.3.21</t>
  </si>
  <si>
    <t>COT-H-090</t>
  </si>
  <si>
    <t>Acessórios para válvula borboleta tipo WAFER Ø 400mm.</t>
  </si>
  <si>
    <t>3.3.20</t>
  </si>
  <si>
    <t>C_268-048</t>
  </si>
  <si>
    <t>Acessórios para válvula borboleta tipo LUG Ø150mm.</t>
  </si>
  <si>
    <t>3.3.19</t>
  </si>
  <si>
    <t>C_268-046</t>
  </si>
  <si>
    <t>Conjunto de parafusos, porcas e arruela de borracha para  montagem de flanges ISO 2531 classe PN-10, Ø 600mm</t>
  </si>
  <si>
    <t>3.3.18</t>
  </si>
  <si>
    <t>3.3.17</t>
  </si>
  <si>
    <t>3.3.16</t>
  </si>
  <si>
    <t>C_268-042</t>
  </si>
  <si>
    <t>Conjunto de parafusos, porcas e arruela de borracha para montagem de flanges ISO 2531 classe PN-10, Ø 150mm.</t>
  </si>
  <si>
    <t>3.3.15</t>
  </si>
  <si>
    <t>C_268-041</t>
  </si>
  <si>
    <t>Conjunto de parafusos, porcas e arruela de borracha para montagem de flanges ISO 2531 classe PN-10, Ø 100mm.</t>
  </si>
  <si>
    <t>3.3.14</t>
  </si>
  <si>
    <t>C_268-039</t>
  </si>
  <si>
    <t>Conjunto de parafusos, porcas e arruela de borracha para montagem de flanges ISO 2531 classe PN-10, Ø 50mm.</t>
  </si>
  <si>
    <t>3.3.13</t>
  </si>
  <si>
    <t>COT-H-084</t>
  </si>
  <si>
    <t>Tê com flanges Ø 150 x 150mm.</t>
  </si>
  <si>
    <t>3.3.12</t>
  </si>
  <si>
    <t>COT-H-083</t>
  </si>
  <si>
    <t>Flange cego Ø 150mm.</t>
  </si>
  <si>
    <t>3.3.11</t>
  </si>
  <si>
    <t>COT-H-082</t>
  </si>
  <si>
    <t>Flange cego Ø 100mm.</t>
  </si>
  <si>
    <t>3.3.10</t>
  </si>
  <si>
    <t>COT-H-081</t>
  </si>
  <si>
    <t>Luva para hastes Ø 2".</t>
  </si>
  <si>
    <t>3.3.9</t>
  </si>
  <si>
    <t>COT-H-080</t>
  </si>
  <si>
    <t>Tê com flanges Ø 400 x 400mm.</t>
  </si>
  <si>
    <t>3.3.8</t>
  </si>
  <si>
    <t>COT-H-079</t>
  </si>
  <si>
    <t>Flange cego Ø 400mm.</t>
  </si>
  <si>
    <t>3.3.7</t>
  </si>
  <si>
    <t>COT-H-138</t>
  </si>
  <si>
    <t>Curva 90º com flanges  Ø 400mm.</t>
  </si>
  <si>
    <t>3.3.6</t>
  </si>
  <si>
    <t>COT-H-078</t>
  </si>
  <si>
    <t>Tê com flanges Ø 600 x 500mm.</t>
  </si>
  <si>
    <t>3.3.5</t>
  </si>
  <si>
    <t>COT-H-077</t>
  </si>
  <si>
    <t>Flange cego Ø 600mm.</t>
  </si>
  <si>
    <t>3.3.4</t>
  </si>
  <si>
    <t>COT-H-076</t>
  </si>
  <si>
    <t>Curva 90º com flanges  Ø 500mm.</t>
  </si>
  <si>
    <t>3.3.3</t>
  </si>
  <si>
    <t>COT-H-075</t>
  </si>
  <si>
    <t>Tê com flanges Ø 500 x 400mm.</t>
  </si>
  <si>
    <t>3.3.2</t>
  </si>
  <si>
    <t>Extremidade ponta e flange com aba de vedação Ø 500mm (l = ajustar em campo).</t>
  </si>
  <si>
    <t>Conexões de Ferro Fundido</t>
  </si>
  <si>
    <t>COT-H-074</t>
  </si>
  <si>
    <t>Tubo com pontas  Ø 200mm, l= 3,90m.</t>
  </si>
  <si>
    <t>3.2.15</t>
  </si>
  <si>
    <t>COT-H-073</t>
  </si>
  <si>
    <t>Tubo com ponta e bolsa Ø 200mm, l=6,0m.</t>
  </si>
  <si>
    <t>3.2.14</t>
  </si>
  <si>
    <t>COT-H-072</t>
  </si>
  <si>
    <t>Tubo com pontas Ø200mm, l=0,85m.</t>
  </si>
  <si>
    <t>3.2.13</t>
  </si>
  <si>
    <t>Tubo com flanges Ø 150mm, l = 5,47 m.</t>
  </si>
  <si>
    <t>3.2.12</t>
  </si>
  <si>
    <t>COT-H-070</t>
  </si>
  <si>
    <t>Tubo com flanges Ø 150mm, l =5,80m.</t>
  </si>
  <si>
    <t>3.2.11</t>
  </si>
  <si>
    <t>COT-H-069</t>
  </si>
  <si>
    <t>Tubo com flanges Ø 150mm, l = 0,21m.</t>
  </si>
  <si>
    <t>3.2.10</t>
  </si>
  <si>
    <t>COT-H-068</t>
  </si>
  <si>
    <t>Tubo com flanges Ø 400mm, l = 0,70m.</t>
  </si>
  <si>
    <t>3.2.9</t>
  </si>
  <si>
    <t>COT-H-067</t>
  </si>
  <si>
    <t>Tubo com flanges Ø 400mm, l = 0,55m.</t>
  </si>
  <si>
    <t>3.2.8</t>
  </si>
  <si>
    <t>COT-H-066</t>
  </si>
  <si>
    <t>Tubo com flanges Ø 400mm, l = 1,80m.</t>
  </si>
  <si>
    <t>3.2.7</t>
  </si>
  <si>
    <t>COT-H-065</t>
  </si>
  <si>
    <t>Tubo com flanges Ø 400mm, l = 2,75m.</t>
  </si>
  <si>
    <t>3.2.6</t>
  </si>
  <si>
    <t>COT-H-064</t>
  </si>
  <si>
    <t>Tubo com flanges Ø 600mm, l = 2,30m.</t>
  </si>
  <si>
    <t>3.2.5</t>
  </si>
  <si>
    <t>COT-H-063</t>
  </si>
  <si>
    <t>Tubo com flanges Ø 600mm, l = 5,25m.</t>
  </si>
  <si>
    <t>3.2.4</t>
  </si>
  <si>
    <t>COT-H-062</t>
  </si>
  <si>
    <t>Tubo ponta e flange com aba de vedação Ø500mm, l = 0,43m.</t>
  </si>
  <si>
    <t>3.2.3</t>
  </si>
  <si>
    <t>COT-H-061</t>
  </si>
  <si>
    <t>Tubo com flanges Ø 500mm, l = 2,0m.</t>
  </si>
  <si>
    <t>3.2.2</t>
  </si>
  <si>
    <t>COT-H-060</t>
  </si>
  <si>
    <t>Tubo ponta e bolsa Ø 80mm, l = 3,20m.</t>
  </si>
  <si>
    <t>Tubulação de Ferro Fundido</t>
  </si>
  <si>
    <t>COT-H-059</t>
  </si>
  <si>
    <t>Registro de gaveta chato com flanges e volante Ø50mm.</t>
  </si>
  <si>
    <t>3.1.5</t>
  </si>
  <si>
    <t>COT-H-058</t>
  </si>
  <si>
    <t>Válvula borboleta tipo WAFER, acionamento manual, operador do lado direito do sentido de fluxo Ø 400mm.</t>
  </si>
  <si>
    <t>3.1.4</t>
  </si>
  <si>
    <t>COT-H-057</t>
  </si>
  <si>
    <t>Válvula borboleta tipo WAFER, acionamento manual, operador do lado esquerdo do sentido de fluxo Ø 400mm.</t>
  </si>
  <si>
    <t>3.1.3</t>
  </si>
  <si>
    <t>COT-H-056</t>
  </si>
  <si>
    <t>Válvula borboleta tipo WAFER, acionamento manual, operador do lado direito do sentido de fluxo Ø 500mm.</t>
  </si>
  <si>
    <t>COT-H-055</t>
  </si>
  <si>
    <t>Válvula borboleta tipo WAFER, acionamento manual, operador do lado esquerdo do sentido de fluxo Ø 500mm.</t>
  </si>
  <si>
    <t>Válvulas</t>
  </si>
  <si>
    <t xml:space="preserve">Filtros </t>
  </si>
  <si>
    <t>Haste com duas roscas, Ø 1 1/8", l = 4,10 m.</t>
  </si>
  <si>
    <t>2.9.2</t>
  </si>
  <si>
    <t>COT-H-053</t>
  </si>
  <si>
    <t>Haste com rosca e boca de chave, Ø 1 1/8", l=1,28m.</t>
  </si>
  <si>
    <t>2.9.1</t>
  </si>
  <si>
    <t>COT-H-052</t>
  </si>
  <si>
    <t>Escada tipo marinheiro sem guarda-corpo, l=3,26m.</t>
  </si>
  <si>
    <t>2.8.1</t>
  </si>
  <si>
    <t>Materiais em Aço Carbono</t>
  </si>
  <si>
    <t>COT-H-051</t>
  </si>
  <si>
    <t>Módulos Tubulares para Decantação Laminar, incluindo materiais para fixação e montagem, Área de Cobertura em Planta = 117,60 m².</t>
  </si>
  <si>
    <t>2.7.4</t>
  </si>
  <si>
    <t>2.7.3</t>
  </si>
  <si>
    <t>COT-H-048</t>
  </si>
  <si>
    <t>Cotovelo 90º soldável Ø 50mm, PVC Marrom</t>
  </si>
  <si>
    <t>2.7.2</t>
  </si>
  <si>
    <t>COT-H-047</t>
  </si>
  <si>
    <t>Redução soldável, Ø 50mm x 25mm, PVC Marrom</t>
  </si>
  <si>
    <t>2.7.1</t>
  </si>
  <si>
    <t>Conexões em PVC</t>
  </si>
  <si>
    <t>2.6.2</t>
  </si>
  <si>
    <t>2.6.1</t>
  </si>
  <si>
    <t>Tubulação em PVC</t>
  </si>
  <si>
    <t>COT-H-043</t>
  </si>
  <si>
    <t>Válvula borboleta LUG Ø 500mm, furação conforme ISO  2531, PN - 10.</t>
  </si>
  <si>
    <t>2.5.2</t>
  </si>
  <si>
    <t>COT-H-042</t>
  </si>
  <si>
    <t>Válvula borboleta LUG Ø 150mm, furação conforme ISO  2531, PN - 10.</t>
  </si>
  <si>
    <t>Flange liso para solda Ø 20", ASTM A 181, conf norma DIN 2476.</t>
  </si>
  <si>
    <t>2.4.2</t>
  </si>
  <si>
    <t>Flange liso para solda Ø 6"</t>
  </si>
  <si>
    <t>COT-H-039</t>
  </si>
  <si>
    <t>Tubo com pontas biseladas para solda e aba de vedação, Ø 20", l = 0,36m, e = 1/4".</t>
  </si>
  <si>
    <t>COT-H-038</t>
  </si>
  <si>
    <t>Tubo com pontas biseladas para solda e aba de vedação Ø 6", l = 0,33m, e = 1/4".</t>
  </si>
  <si>
    <t>Cap de ferro fundido, Ø 150 mm, com bolsas</t>
  </si>
  <si>
    <t>2.2.6</t>
  </si>
  <si>
    <t>COT-H-037</t>
  </si>
  <si>
    <t>Mancal intermediário Ø 1 1/8".</t>
  </si>
  <si>
    <t>2.2.5</t>
  </si>
  <si>
    <t>COT-H-036</t>
  </si>
  <si>
    <t>Luva para hastes Ø 1 1/8".</t>
  </si>
  <si>
    <t>2.2.4</t>
  </si>
  <si>
    <t>COT-H-035</t>
  </si>
  <si>
    <t>Curva 90º com flanges  Ø 100mm.</t>
  </si>
  <si>
    <t>COT-H-034</t>
  </si>
  <si>
    <t>Toco com flanges Ø 100mm, l = 0,25m.</t>
  </si>
  <si>
    <t>COT-H-033</t>
  </si>
  <si>
    <t>Extremidade ponta e flange com aba de vedação, Ø 100mm (l = ajustar em campo).</t>
  </si>
  <si>
    <t>COT-H-032</t>
  </si>
  <si>
    <t>Tubo com pontas, e aba de vedação Ø 80mm, l = 0,29m.</t>
  </si>
  <si>
    <t>2.1.5</t>
  </si>
  <si>
    <t>COT-H-031</t>
  </si>
  <si>
    <t>Tubo com flange e ponta Ø 100mm, l = 3,50m.</t>
  </si>
  <si>
    <t>2.1.4</t>
  </si>
  <si>
    <t>COT-H-030</t>
  </si>
  <si>
    <t>Tubo com flanges Ø 100mm, l = 5,80m.</t>
  </si>
  <si>
    <t>2.1.3</t>
  </si>
  <si>
    <t>Tubo com flanges Ø 100mm, l = 3,75 m.</t>
  </si>
  <si>
    <t>2.1.2</t>
  </si>
  <si>
    <t>COT-H-028</t>
  </si>
  <si>
    <t>Tubo com flanges Ø 100mm, l = 3,25m.</t>
  </si>
  <si>
    <t>Decantadores</t>
  </si>
  <si>
    <t>COT-H-027</t>
  </si>
  <si>
    <t>Grade injetada leve (removível) 0,60m x 3,05m.</t>
  </si>
  <si>
    <t>Materiais em Fibra de Vidro</t>
  </si>
  <si>
    <t>COT-H-026</t>
  </si>
  <si>
    <t>Escada metálica para acesso à laje do floculador (7,50 X 1,00 m, altura=4,50m).</t>
  </si>
  <si>
    <t>COT-H-025</t>
  </si>
  <si>
    <t>Passarela de acesso à laje do floculador (12,40 x 2,0m) - estrutura metálica.</t>
  </si>
  <si>
    <t>COT-H-024</t>
  </si>
  <si>
    <t>Registro de gaveta chato com flanges e cabeçote Ø 150mm.</t>
  </si>
  <si>
    <t>COT-H-023</t>
  </si>
  <si>
    <t>Toco com flanges e aba de vedação Ø 150mm, l = 0,70m.</t>
  </si>
  <si>
    <t>COT-H-022</t>
  </si>
  <si>
    <t>Curva 90º com flanges  Ø 150mm</t>
  </si>
  <si>
    <t>COT-H-021</t>
  </si>
  <si>
    <t>Extremidade ponta e flange com aba de vedação, Ø 150mm (l = ajustar em campo).</t>
  </si>
  <si>
    <t>COT-H-020</t>
  </si>
  <si>
    <t>Tubo com flanges  Ø 150mm, l = 5,80m.</t>
  </si>
  <si>
    <t>COT-H-019</t>
  </si>
  <si>
    <t>Tubo com flanges  Ø 150mm, l = 0,80m.</t>
  </si>
  <si>
    <t xml:space="preserve">Tubulação em Ferro Fundido </t>
  </si>
  <si>
    <t>COT-H-018</t>
  </si>
  <si>
    <t>Misturador de fluxo axial tipo turbina com dispositivo de quebra-vórtice.</t>
  </si>
  <si>
    <t>Equipamentos</t>
  </si>
  <si>
    <t>Floculadores</t>
  </si>
  <si>
    <t>COT-E-102</t>
  </si>
  <si>
    <t>Materiais para montagem (acabamento, fixação, isolação) como: parafusos, porcas, arruelas, suportes, chumbadores, buchas de nylon, terminais, fitas de nylon, braçadeira, conexão de eletrodutos e outros.</t>
  </si>
  <si>
    <t>Fixação e Suportes</t>
  </si>
  <si>
    <t>E-034</t>
  </si>
  <si>
    <t>Luminária tipo projetor, para lâmpada vapor de metalico de 150W/220V, corpo refletor estampado em chapa de alumínio, pescoço em liga de alumínio fundido apropriado para alojamento do equipamento com reator,ignitor e vidro refrator fixado ao corpo por meio de rosca.</t>
  </si>
  <si>
    <t>E-038</t>
  </si>
  <si>
    <t>Luminária com corpo em alumínio fundido com alojamento para equipamento auxiliar montada em poste de aço zincado com fluorescente compacta 85W-220V.</t>
  </si>
  <si>
    <t>1.3.10</t>
  </si>
  <si>
    <t>1.3.9</t>
  </si>
  <si>
    <t>1.3.8</t>
  </si>
  <si>
    <t>COT-E-063</t>
  </si>
  <si>
    <t>Condulete tipo "E" em liga de alumínio fundido de Ø20mm, com um interruptor bipolar de 15A, 250V.</t>
  </si>
  <si>
    <t>COT-E-062</t>
  </si>
  <si>
    <t>Condulete  em liga de alumínio fundido de Ø25mm, com um interruptor pararelho de 15A, 250V.</t>
  </si>
  <si>
    <t>COT-E-069</t>
  </si>
  <si>
    <t>Caixa de ligação de 250x250mm, com bornes em alumínio fundido.</t>
  </si>
  <si>
    <t>Cabo multipolar de cobre, classe 0,6/1kV, isolação em composto termofixo tipo EPR colorido, enchimento em composto termoplástico tipo PVC, cobertura em composto termoplástico tipo PVC preto, veias distintas pela cor. Quatro veias de seção nominal 2,5mm².</t>
  </si>
  <si>
    <t>COT-E-111</t>
  </si>
  <si>
    <t>Quadro de Luz (MT1-CCM), montado em caixa de sobrepor, responsável pela proteção e manobra das cargas de iluminação do módulo de tratamento, conforme respectivos diagramas do projeto elétrico.</t>
  </si>
  <si>
    <t>COT-E-016</t>
  </si>
  <si>
    <t>Centro de Controle de Motores (MT1-CCM), montado em armário autoportante, responsável pela proteção e acionamento dos oito floculadores de 1CV / 380 V integrantes do módulo de tratamento,  conforme respectivos diagramas do projeto elétrico e especificação técnica.</t>
  </si>
  <si>
    <t>Painéis e Quadros de Baixa Tensão</t>
  </si>
  <si>
    <t>Materiais e equipamentos - Módulo de Tratamento</t>
  </si>
  <si>
    <t>Fornecimento de Materiais e Equipamentos Elétricos, de Automação e Diversos - Módulo de Tratamento</t>
  </si>
  <si>
    <t>8.3.1.1</t>
  </si>
  <si>
    <t>8.3.1</t>
  </si>
  <si>
    <t>8.3</t>
  </si>
  <si>
    <t>8.2.1.1</t>
  </si>
  <si>
    <t>8.2.1</t>
  </si>
  <si>
    <t>8.2</t>
  </si>
  <si>
    <t>5.6.1</t>
  </si>
  <si>
    <t>5.6</t>
  </si>
  <si>
    <t>5.5.2.1</t>
  </si>
  <si>
    <t>5.5.2</t>
  </si>
  <si>
    <t>5.5.1</t>
  </si>
  <si>
    <t>5.5</t>
  </si>
  <si>
    <t>5.4.1.2</t>
  </si>
  <si>
    <t>5.4.1.1</t>
  </si>
  <si>
    <t>5.3.2</t>
  </si>
  <si>
    <t>2.2.1.2</t>
  </si>
  <si>
    <t>2.1.1.3</t>
  </si>
  <si>
    <t>2.1.1.2</t>
  </si>
  <si>
    <t>73861/021</t>
  </si>
  <si>
    <t>73861/015</t>
  </si>
  <si>
    <t>E-006</t>
  </si>
  <si>
    <t>E-026</t>
  </si>
  <si>
    <t>E-025</t>
  </si>
  <si>
    <t>E-028</t>
  </si>
  <si>
    <t>Guarda corpo, h=1,10m em fibra de vidro pultrudada.</t>
  </si>
  <si>
    <t>Fibra de Vidro Pultrudada</t>
  </si>
  <si>
    <t>C_268-059</t>
  </si>
  <si>
    <t>Tampa de Inspeção 0,90 x 0,90 ( Dimensões conforme Desenho)</t>
  </si>
  <si>
    <t>C_268-043</t>
  </si>
  <si>
    <t>Conjunto de parafusos, porcas e arruela de borracha para montagem de flanges ISO 2531 classe PN-10, Ø 200mm.</t>
  </si>
  <si>
    <t>C_268-047</t>
  </si>
  <si>
    <t>Conjunto de parafusos, porcas e arruela de borracha para montagem de flanges ISO 2531 classe PN-10, Ø 800mm.</t>
  </si>
  <si>
    <t>Conjunto de parafusos, porcas e arruela de borracha para montagem de flanges ISO 2531 classe PN-10, Ø600mm.</t>
  </si>
  <si>
    <t>Materiais diversos</t>
  </si>
  <si>
    <t>Escada tipo marinheiro, h=3,23m, guarda corpo com 2,14m. Em Aço Carbono.</t>
  </si>
  <si>
    <t>Escada tipo marinheiro, h= 0,70 m. Em Aço Carbono.</t>
  </si>
  <si>
    <t>COT-H-433</t>
  </si>
  <si>
    <t>Escada tipo marinheiro, h= 4,93 m, guarda corpo com 3,70m. Em Aço carbono.</t>
  </si>
  <si>
    <t>COT-H-449</t>
  </si>
  <si>
    <t>Escada tipo marinheiro, h= 1,40 m. Em Aço Carbono</t>
  </si>
  <si>
    <t>Tubo de aço Ø32" (800mm) com pontas biseladas para solda, e = 1 / 4", l= 1,22m, Aco Carbono ASTM A-283, AWWA C-200, revestimento conforme AWWA C-210</t>
  </si>
  <si>
    <t>Tubo de aço Ø 24" (600mm), com pontas biseladas para solda, e = 1 / 4", Aco Carbono ASTM A-283, AWWA C-200, revestimento conforme AWWA C-210</t>
  </si>
  <si>
    <t>Tê com pontas biseladas para solda ∅ 32" (800mm) x 32" (800mm), e=1/4", reforço em vê. Em Aço ASTM A 283 GR D</t>
  </si>
  <si>
    <t>COT-H-143</t>
  </si>
  <si>
    <t>Flange liso para solda Ø 32" (800mm), Aço Carbono ASTM A 181, conf norma DIN 2476, aço carbono AWWA C-200, revestimento conf. AWWA C-210</t>
  </si>
  <si>
    <t>Flange liso para solda Ø 24" (600mm), Aço Carbono ASTM A 181, conf norma DIN 2476, aço carbono AWWA C-200, revestimento conf. AWWA C-210</t>
  </si>
  <si>
    <t>Tubo com ponta e bolsa junta elástica Ø 600 mm,  l=6,00.</t>
  </si>
  <si>
    <t>Tubo c/ pontas Ø 600mm, l= 1,00 m.</t>
  </si>
  <si>
    <t>COT-H-142</t>
  </si>
  <si>
    <t>Tubo ponta e flange Ø150mm, l= 0,80m.  Conforme ISO 2531 PN - 10.</t>
  </si>
  <si>
    <t>COT-H-141</t>
  </si>
  <si>
    <t>Tubo c/ flange Ø600mm, l= 0,28m. Conforme ISO 2531 PN - 10.</t>
  </si>
  <si>
    <t>COT-H-140</t>
  </si>
  <si>
    <t>Extremidade ponta e flange c/ aba de vedação, Ø200mm.  Conforme ISO 2531 PN - 10.</t>
  </si>
  <si>
    <t>COT-H-139</t>
  </si>
  <si>
    <t>Extremidade ponta e flange c/ aba de vedação, Ø800mm.  Conforme ISO 2531 PN - 10.</t>
  </si>
  <si>
    <t>Extremidade ponta e flange c/ aba de vedação, Ø400mm.  Conforme ISO 2531 PN - 10.</t>
  </si>
  <si>
    <t>Curva de  90º com flanges, Ø150mm.  Conforme ISO 2531 PN - 10.</t>
  </si>
  <si>
    <t>Curva de  90º com flanges, Ø400mm.  Conforme ISO 2531 PN - 10.</t>
  </si>
  <si>
    <t>COT-H-137</t>
  </si>
  <si>
    <t>Junta de desmontagem travada axialmente, Ø800mm.  Conforme ISO 2531 PN - 10.</t>
  </si>
  <si>
    <t>COT-H-136</t>
  </si>
  <si>
    <t>Toco com flanges Ø 800mm, l=0,25m.  Conforme ISO 2531 PN - 10.</t>
  </si>
  <si>
    <t>COT-H-135</t>
  </si>
  <si>
    <t>Extremidade ponta e flange c/ aba de vedação Ø600mm.  Conforme ISO 2531 PN - 10.</t>
  </si>
  <si>
    <t>COT-H-134</t>
  </si>
  <si>
    <t>Junta de desmontagem travada axialmente, Ø600mm.  Conforme ISO 2531 PN - 10.</t>
  </si>
  <si>
    <t>COT-H-133</t>
  </si>
  <si>
    <t>Válvula Borboleta Ø 200mm, tipo Wafer, completa, acionamento manual, operador do lado direito do sentido do fluxo.</t>
  </si>
  <si>
    <t>COT-H-132</t>
  </si>
  <si>
    <t>Válvula Borboleta Ø 800mm com flanges, completa, acionamento manual,operador do lado direito do sentido do fluxo.</t>
  </si>
  <si>
    <t>COT-H-131</t>
  </si>
  <si>
    <t>Válvula Borboleta Ø 600mm, tipo Wafer, completa, acionamento manual, operador do lado direito do sentido do fluxo.</t>
  </si>
  <si>
    <t>Reservatório Pulmão</t>
  </si>
  <si>
    <t>Materiais diversos para fixação, incluindo parafusos, buchas, porcas, braçadeiras, entre outros.</t>
  </si>
  <si>
    <t>Materiais para fixação</t>
  </si>
  <si>
    <t>COT-E-125</t>
  </si>
  <si>
    <t>Transmissor de nível tipo ultrassônico, sinalização padrão 4 a 20 mA a dois fios, faixa de medição de 0 a 10 metros. Demais características conforme especificação técnica fornecida. (LIT-01/02).</t>
  </si>
  <si>
    <t>Instrumentos</t>
  </si>
  <si>
    <t>Braçadeira "U" perfil com cunha cônica de aço galvanizado, para fixação de eletrodutos Ø1".</t>
  </si>
  <si>
    <t>COT-E-081</t>
  </si>
  <si>
    <t>Conector tipo macho giratório, Ø1".</t>
  </si>
  <si>
    <t>COT-E-078</t>
  </si>
  <si>
    <t>Conector tipo fêmea fixa, Ø1".</t>
  </si>
  <si>
    <t>Cabo para controle / instrumentação, condutores de cobre, classe 300 V, isolação em composto termoplástico tipo PVC, blindagem coletiva por malha de cobre. Três pares (3) terna de seção nominal 1,0 mm².</t>
  </si>
  <si>
    <t>COT-E-018</t>
  </si>
  <si>
    <t>Centro de Controle de Motores (RESA-CCM2), montado em armário autoportante, responsável pela partida manual ou automática de um motor de indução trifasico de 5CV/380V via inversor, com capacitor para correção de potencia e demais despositivos de proteção e manobra, conforme diagramas apresentados.</t>
  </si>
  <si>
    <t>COT-E-017</t>
  </si>
  <si>
    <t>Centro de Controle de Motores (RESA-CCM1), montado em armário autoportante, responsável pela partida manual ou automática de um motor de indução trifasico de 5CV/380V via inversor, com capacitor para correção de potencia e demais despositivos de proteção e manobra, conforme diagramas apresentados.</t>
  </si>
  <si>
    <t>COT-E-030</t>
  </si>
  <si>
    <t>Painel de controle da estação (RESA-PCE), montado em armário autoportante, responsável pela coleta de dados dos instrumentos de campo e pelo controle automático local dos conjuntos de motores, conforme diagramas apresentados.</t>
  </si>
  <si>
    <t>COT-E-014</t>
  </si>
  <si>
    <t>Centro de controle de motores - entrada (RESA-CCME), para entrada de cabos e proteção geral dos demais conjuntos, características conforme diagramas apresentados.</t>
  </si>
  <si>
    <t>Painéis e Quadros</t>
  </si>
  <si>
    <t>Materiais e equipamentos - Res. Pulmão</t>
  </si>
  <si>
    <t>Fornecimento de Materiais e Equipamentos Elétricos, de Automação e Diversos - Res. Pulmão</t>
  </si>
  <si>
    <t>1.3.1.1</t>
  </si>
  <si>
    <t>Acessórios</t>
  </si>
  <si>
    <t>COT-H-374</t>
  </si>
  <si>
    <t>Flange Solto Ø 4", em PVC Soldável, conforme ANSI 16.5.</t>
  </si>
  <si>
    <t xml:space="preserve">Conexões em PVC Soldável </t>
  </si>
  <si>
    <t>C_268-024</t>
  </si>
  <si>
    <t>Flange roscado Ø 4", com roscas NPT, em aço carbono ASTM A181, classe 150,  confome ANSI 16.5.</t>
  </si>
  <si>
    <t xml:space="preserve">Conexões em Aço Carbono </t>
  </si>
  <si>
    <t>1.4.9</t>
  </si>
  <si>
    <t>Conexões</t>
  </si>
  <si>
    <t>00021015</t>
  </si>
  <si>
    <t>1.3.11</t>
  </si>
  <si>
    <t>Tubo Ø 3" com roscas NPT, L= 2,0 m, em FºGº.(Aço galv c/ costura NBR 5580 classe leve)</t>
  </si>
  <si>
    <t>Tubo Ø 3" com roscas NPT, L= 6,40 m, em FºGº.(Aço galv c/ costura NBR 5580 classe leve)</t>
  </si>
  <si>
    <t>Tubo Ø 3" com roscas NPT, L= 1,05 m, em FºGº.(Aço galv c/ costura NBR 5580 classe leve)</t>
  </si>
  <si>
    <t>00021014</t>
  </si>
  <si>
    <t>Tubulações</t>
  </si>
  <si>
    <t>Válvula de retenção Ø 3" com roscas NPT, em bronze.</t>
  </si>
  <si>
    <t>Registro gaveta, Ø 3", com roscas  NPT em bronze</t>
  </si>
  <si>
    <t xml:space="preserve">Válvulas e Registros </t>
  </si>
  <si>
    <t>COT-H-192</t>
  </si>
  <si>
    <t>Conj. moto bomba centrifugo eixo horizontal monobloco Q=18 m³/h, AMT=22,47 mca, pot=3CV.</t>
  </si>
  <si>
    <t xml:space="preserve">Estação Elevatória </t>
  </si>
  <si>
    <t>11.2</t>
  </si>
  <si>
    <t>9.2.1</t>
  </si>
  <si>
    <t>8.4.1</t>
  </si>
  <si>
    <t>8.4</t>
  </si>
  <si>
    <t>8.3.2</t>
  </si>
  <si>
    <t>6.5.1</t>
  </si>
  <si>
    <t>6.5</t>
  </si>
  <si>
    <t>6.4.1</t>
  </si>
  <si>
    <t>6.4</t>
  </si>
  <si>
    <t>5.3.3.1</t>
  </si>
  <si>
    <t>5.3.3</t>
  </si>
  <si>
    <t>5.3.2.1</t>
  </si>
  <si>
    <t>5.1.1.4</t>
  </si>
  <si>
    <t>5.1.1.3</t>
  </si>
  <si>
    <t>5.1.1.2</t>
  </si>
  <si>
    <t>C_268-058</t>
  </si>
  <si>
    <t>4.4</t>
  </si>
  <si>
    <t>4.3.1</t>
  </si>
  <si>
    <t>4.2.3</t>
  </si>
  <si>
    <t>4.2.2</t>
  </si>
  <si>
    <t>4.2.1</t>
  </si>
  <si>
    <t>3.2.1.1</t>
  </si>
  <si>
    <t>3.1.1.3</t>
  </si>
  <si>
    <t>3.1.1.2</t>
  </si>
  <si>
    <t>C_268-056</t>
  </si>
  <si>
    <t>2.6.1.2</t>
  </si>
  <si>
    <t>2.6.1.1</t>
  </si>
  <si>
    <t>2.5.4.1</t>
  </si>
  <si>
    <t>2.5.4</t>
  </si>
  <si>
    <t>2.5.3.3</t>
  </si>
  <si>
    <t>2.5.3.2</t>
  </si>
  <si>
    <t>2.5.3.1</t>
  </si>
  <si>
    <t>2.5.3</t>
  </si>
  <si>
    <t>2.4.2.1</t>
  </si>
  <si>
    <t>2.3.3</t>
  </si>
  <si>
    <t>2.4.4.20</t>
  </si>
  <si>
    <t>2.4.4.19</t>
  </si>
  <si>
    <t>2.4.4.18</t>
  </si>
  <si>
    <t>2.4.4.17</t>
  </si>
  <si>
    <t>2.4.4.16</t>
  </si>
  <si>
    <t>2.4.4.15</t>
  </si>
  <si>
    <t>2.4.4.14</t>
  </si>
  <si>
    <t>2.4.4.13</t>
  </si>
  <si>
    <t>2.4.4.12</t>
  </si>
  <si>
    <t>2.4.4.11</t>
  </si>
  <si>
    <t>2.4.4.10</t>
  </si>
  <si>
    <t>2.4.4.9</t>
  </si>
  <si>
    <t>2.4.4.8</t>
  </si>
  <si>
    <t>2.4.4.7</t>
  </si>
  <si>
    <t>2.4.4.6</t>
  </si>
  <si>
    <t>2.4.4.5</t>
  </si>
  <si>
    <t>2.4.4.4</t>
  </si>
  <si>
    <t>2.4.4.3</t>
  </si>
  <si>
    <t>2.4.4.2</t>
  </si>
  <si>
    <t>2.4.4.1</t>
  </si>
  <si>
    <t>2.4.4</t>
  </si>
  <si>
    <t>2.4.3.3</t>
  </si>
  <si>
    <t>2.4.3.2</t>
  </si>
  <si>
    <t>2.4.3.1</t>
  </si>
  <si>
    <t>Tubulações em PVC</t>
  </si>
  <si>
    <t>2.4.3</t>
  </si>
  <si>
    <t xml:space="preserve">Válvulas </t>
  </si>
  <si>
    <t>2.4.1.3</t>
  </si>
  <si>
    <t>Aparelho</t>
  </si>
  <si>
    <t>Sistema de distribuição de água</t>
  </si>
  <si>
    <t>00001610</t>
  </si>
  <si>
    <t>Massa Plástica de Vedação</t>
  </si>
  <si>
    <t>2.2.5.1</t>
  </si>
  <si>
    <t>Materiais de acabamento</t>
  </si>
  <si>
    <t>00011730</t>
  </si>
  <si>
    <t>Tampa cega em aço inox para ralo sifonado 20 x 20cm</t>
  </si>
  <si>
    <t>2.2.4.2</t>
  </si>
  <si>
    <t xml:space="preserve">Grelha para ralo, dimensões 15 x 15 cm </t>
  </si>
  <si>
    <t>2.2.4.1</t>
  </si>
  <si>
    <t>Materiais em aço inox</t>
  </si>
  <si>
    <t>2.2.3.2</t>
  </si>
  <si>
    <t>2.2.3.1</t>
  </si>
  <si>
    <t>2.2.2.1</t>
  </si>
  <si>
    <t>Sistema de Coleta de Águas Pluviais</t>
  </si>
  <si>
    <t>2.1.3.1</t>
  </si>
  <si>
    <t>2.1.2.13</t>
  </si>
  <si>
    <t>2.1.2.12</t>
  </si>
  <si>
    <t>2.1.2.11</t>
  </si>
  <si>
    <t>2.1.2.10</t>
  </si>
  <si>
    <t>2.1.2.9</t>
  </si>
  <si>
    <t>2.1.2.8</t>
  </si>
  <si>
    <t>2.1.2.7</t>
  </si>
  <si>
    <t>2.1.2.6</t>
  </si>
  <si>
    <t>2.1.2.5</t>
  </si>
  <si>
    <t>2.1.2.4</t>
  </si>
  <si>
    <t>2.1.2.3</t>
  </si>
  <si>
    <t>2.1.2.2</t>
  </si>
  <si>
    <t>2.1.2.1</t>
  </si>
  <si>
    <t xml:space="preserve">Conexões em PVC </t>
  </si>
  <si>
    <t xml:space="preserve">Sistema de Coleta de  Esgoto </t>
  </si>
  <si>
    <t>Instalações Hidráulico Sanitárias da Casa de Química</t>
  </si>
  <si>
    <t>00010720</t>
  </si>
  <si>
    <t>Tábua madeira lei 1,5 x 20,0cm (1/2 x 8") aparelhada</t>
  </si>
  <si>
    <t>Tábuas para apoio da telha.</t>
  </si>
  <si>
    <t>COT-H-162</t>
  </si>
  <si>
    <t>Estutura metálica leve para suporte de cobertura em telhas de fibrocimento p/ as áreas do estacionamento coberto e cilindros de PAC.</t>
  </si>
  <si>
    <t>Estruturas Metálicas em Aço Carbono</t>
  </si>
  <si>
    <t>Braçadeira para tubulação Ø 20 mm em aço inox</t>
  </si>
  <si>
    <t>Braçadeira para tubulação Ø 2" em aço inox</t>
  </si>
  <si>
    <t>Materiais de diversos</t>
  </si>
  <si>
    <t>1.6.17</t>
  </si>
  <si>
    <t>1.6.16</t>
  </si>
  <si>
    <t>1.6.15</t>
  </si>
  <si>
    <t>1.6.14</t>
  </si>
  <si>
    <t>1.6.13</t>
  </si>
  <si>
    <t>1.6.12</t>
  </si>
  <si>
    <t>1.6.11</t>
  </si>
  <si>
    <t>1.6.10</t>
  </si>
  <si>
    <t>1.6.9</t>
  </si>
  <si>
    <t>un.</t>
  </si>
  <si>
    <t>Espigão Ø 2", roscável em PVC  (Adaptador interno para mangueira Ø 2")</t>
  </si>
  <si>
    <t xml:space="preserve">Válvula de retenção Ø 3/4", encaixe roscável </t>
  </si>
  <si>
    <t>Válvula de retenção  Ø 2", encaixe em rosca - em PVC</t>
  </si>
  <si>
    <t>COT-H-155</t>
  </si>
  <si>
    <t>Bomba dosadora tipo diafragma p/ Ácido Fluorsilícico Q = 5 l/h e pressão de serviço 4 bar, completa c/ conexões e acessórios.</t>
  </si>
  <si>
    <t>COT-H-154</t>
  </si>
  <si>
    <t>Bomba dosadora tipo diafragma p/ Hidróxido de Sódio Q = 15 l/h e pressão de serviço 4bar, completa c/ conexões e acessórios.</t>
  </si>
  <si>
    <t>COT-H-153</t>
  </si>
  <si>
    <t>Bomba dosadora tipo diafragma p/ Policloreto de alumínio Q = 35 l/h e pressão de serviço 4bar, completa c/ conexões e acessórios.</t>
  </si>
  <si>
    <t>COT-H-152</t>
  </si>
  <si>
    <t>Tanques de armazenamento de ácido fluorsilício capacidade nominal 1,5 m³, cilíndrico, fundo plano, tampa plana estutura polipropileno e proteção UV completo c/ conexões, acessórios p / fixação.</t>
  </si>
  <si>
    <t>COT-H-151</t>
  </si>
  <si>
    <t>Tanques de armazenamento de Hidróxido de Sódio capacidade nominal 4 m³, cilíndrico, fundo plano, tampa elíptica, estutura em resina isoftálica reforçada com fibra de vidro e proteção UV, barreira química em resina éster vinílica reforçada com fibra de vidro, completo c/ conexões, acessórios p / fixação.</t>
  </si>
  <si>
    <t>COT-H-150</t>
  </si>
  <si>
    <t>Tanques de armazenamento de policloreto de alumínio capacidade nominal 10 m³, cilíndrico, fundo plano, tampa elíptica, estutura em resina isoftálica reforçada com fibra de vidro e proteção UV, barreira química em resina éster vinílica reforçada com fibra de vidro, completo c/ conexões, acessórios p / fixação.</t>
  </si>
  <si>
    <t>Casa de Química</t>
  </si>
  <si>
    <t>Aterramento e SPDA</t>
  </si>
  <si>
    <t>1.5.6</t>
  </si>
  <si>
    <t>73861/008</t>
  </si>
  <si>
    <t>1.5.5</t>
  </si>
  <si>
    <t>73861/014</t>
  </si>
  <si>
    <t>73861/020</t>
  </si>
  <si>
    <t>73861/005</t>
  </si>
  <si>
    <t>1.4.12</t>
  </si>
  <si>
    <t>1.4.11</t>
  </si>
  <si>
    <t>1.4.10</t>
  </si>
  <si>
    <t>E-037</t>
  </si>
  <si>
    <t>E-023</t>
  </si>
  <si>
    <t>COT-E-041</t>
  </si>
  <si>
    <t xml:space="preserve">Medidor de vazão tipo eletromagnético entre flanges, Ø da linha 400mm, sinalização padrão 4 a 20mA quatro fios, faixa de medição de 0 a 10 m/s, com 40 metros de cabo. Demais caracteristicas conforme especificação técnica fornecida. </t>
  </si>
  <si>
    <t>COT-E-045</t>
  </si>
  <si>
    <t>Braçadeira tipo unha, para eletrodutos rígidos de Ø 2".</t>
  </si>
  <si>
    <t>COT-E-076</t>
  </si>
  <si>
    <t>Conector de medição de aterramento, com 4 parafusos, para cabos de até 95 mm².</t>
  </si>
  <si>
    <t>COT-E-058</t>
  </si>
  <si>
    <t>Caixa de ligação ("Condulete") tipo "C", Ø 2", com tampa cega.</t>
  </si>
  <si>
    <t>Caixa de inspeção do terra com tampa, Ø250mm.</t>
  </si>
  <si>
    <t>COT-E-047</t>
  </si>
  <si>
    <t>Cabo de aço galvanizado, seção 50 mm², 7 fios.</t>
  </si>
  <si>
    <t>SPDA e Aterramento</t>
  </si>
  <si>
    <t>COT-E-113</t>
  </si>
  <si>
    <t>Saída lateral para eletroduto Ø1.1/4".</t>
  </si>
  <si>
    <t>COT-E-122</t>
  </si>
  <si>
    <t xml:space="preserve">Suporte reforçado L=300mm H=100mm de fixação vertical na parede para a eletrocalha.  </t>
  </si>
  <si>
    <t>COT-E-090</t>
  </si>
  <si>
    <t xml:space="preserve">Flange para fixar eletrocalha em suas extremidades, L=300mm, Compr.=100mm, com 2 abas de 25mm cada para parafusar na parede. </t>
  </si>
  <si>
    <t>COT-E-075</t>
  </si>
  <si>
    <t>Conecção tipo "T"  horizontal 90º, para eletrocalha 300mmX100mm fabricada em fibra de vidro á base de resina estervinílica.</t>
  </si>
  <si>
    <t>COT-E-089</t>
  </si>
  <si>
    <t>Emenda interna, fabricada em fibra de vidro à base de resina estervinílica, dimensões 300x100mm.</t>
  </si>
  <si>
    <t>COT-E-085</t>
  </si>
  <si>
    <t>Curva horizontal 90º, fabricada em fibra de vidro à base de resina estervinílica, dimensões 300x100mm.</t>
  </si>
  <si>
    <t>br</t>
  </si>
  <si>
    <t>COT-E-087</t>
  </si>
  <si>
    <t>Eletrocalha perfurada, fabricada em fibra de vidro à base de resina estervinílica, dimensões de 300x100x3000mm.</t>
  </si>
  <si>
    <t>Eletrocalha e Afins</t>
  </si>
  <si>
    <t>COT-E-126</t>
  </si>
  <si>
    <t>Vergalhão com rosca total de Ø 3/4" X 3000mm.</t>
  </si>
  <si>
    <t>1.5.9</t>
  </si>
  <si>
    <t>COT-E-072</t>
  </si>
  <si>
    <t>Cantoneira "ZZ".</t>
  </si>
  <si>
    <t>1.5.8</t>
  </si>
  <si>
    <t>COT-E-114</t>
  </si>
  <si>
    <t>Saída lateral para eletroduto de  Ø 3/4" .</t>
  </si>
  <si>
    <t>1.5.7</t>
  </si>
  <si>
    <t>Saída lateral para eletroduto de  Ø 1.1/4" .</t>
  </si>
  <si>
    <t>COT-E-091</t>
  </si>
  <si>
    <t>Gancho longo para perfilado.</t>
  </si>
  <si>
    <t>COT-E-092</t>
  </si>
  <si>
    <t>Junção "T" para perfilado 38x38mm.</t>
  </si>
  <si>
    <t>COT-E-094</t>
  </si>
  <si>
    <t>Junção reta "I" para perfilado 38x38mm.</t>
  </si>
  <si>
    <t>COT-E-115</t>
  </si>
  <si>
    <t>Sapata 4 furos externa.</t>
  </si>
  <si>
    <t>COT-E-106</t>
  </si>
  <si>
    <t>Perfilado perfurado 38x38x3000mm em chapa de aço galvanizado.</t>
  </si>
  <si>
    <t>Perfilado e Afins</t>
  </si>
  <si>
    <t>E-033</t>
  </si>
  <si>
    <t>Luminária tipo arandela 45º, soquete E-40, para lâmpadas de 150 W tipo vapor metálico de alta pressão, completa, com refletor tipo facho aberto, com reator, ignitor e capacitor de correção do F.P.</t>
  </si>
  <si>
    <t>E-031</t>
  </si>
  <si>
    <t>Luminária tipo arandela, soquete E-27, para lâmpadas de 70 W tipo vapor metálico de alta pressão, completa, com refletor tipo facho aberto, com reator, ignitor e capacitor de correção do F.P.</t>
  </si>
  <si>
    <t>E-035</t>
  </si>
  <si>
    <t>Luminária de emergência, com 02 refletores a lâmpadas halógenas de 55 W/ 12 V, bateria selada de 12 V / 40 Ah, carregador de bateria e acionamento automático no corte do fornecimento de energia. Autonomia mínima de 2,5 horas.</t>
  </si>
  <si>
    <t>E-040</t>
  </si>
  <si>
    <t>Luminária à prova de TGVP, tipo arandela, soquete E-40, para lâmpadas de 150 W tipo vapor metálico de alta pressão, completa, com relfetor tipo facho aberto, com reator, ignitor e capacitor de correção do F.P.</t>
  </si>
  <si>
    <t>E-032</t>
  </si>
  <si>
    <t>Luminária tipo arandela 45º, soquete E-27, para lâmpadas de 70 W tipo vapor metálico de alta pressão, completa, com refletor tipo facho aberto, com reator, ignitor e capacitor de correção do F.P.</t>
  </si>
  <si>
    <t>COT-E-059</t>
  </si>
  <si>
    <t>Caixa de ligação ("condulete"), tipo "C", Ø3/4", com 01 interruptor bipolar simples 15A.</t>
  </si>
  <si>
    <t>1.3.15</t>
  </si>
  <si>
    <t>COT-E-060</t>
  </si>
  <si>
    <t>Caixa de ligação ("condulete"), tipo "C", Ø3/4", com 01 tomada 2P+T 20A.</t>
  </si>
  <si>
    <t>1.3.14</t>
  </si>
  <si>
    <t>Caixa de ligação ("condulete"), tipo "E", Ø3/4", com 01 interruptor bipolar 15A.</t>
  </si>
  <si>
    <t>1.3.13</t>
  </si>
  <si>
    <t>COT-E-061</t>
  </si>
  <si>
    <t>Caixa de ligação ("condulete"), tipo "E", Ø3/4", com 01 tomada 2P+T 20A.</t>
  </si>
  <si>
    <t>1.3.12</t>
  </si>
  <si>
    <t>Bucha e arruela para eletrodutos rígidos de Ø 1.1/4".</t>
  </si>
  <si>
    <t>Bucha e arruela para eletrodutos rígidos de Ø 3/4".</t>
  </si>
  <si>
    <t>Eletroduto rígido de aço galvanizado, tipo leve, Ø 1.1/4", em barras de 3 metros.</t>
  </si>
  <si>
    <t>COT-E-037</t>
  </si>
  <si>
    <t>Quadro de luz da Casa de Química (QL-CQ), para proteção e manobra de cargas de iluminação e tomadas, montado em caixa de sobrepor, conforme diagramas apresentados.</t>
  </si>
  <si>
    <t>E-036</t>
  </si>
  <si>
    <t>Quadro de força das dosadoras (QF-DOS), para proteção e manobra das bombas dosadoras de produtos químicos, montado em caixa de sobrepor, conforme diagramas apresentados.</t>
  </si>
  <si>
    <t>Materiais e equipamentos - Casa de Química</t>
  </si>
  <si>
    <t>Fornecimento de Materiais e Equipamentos Elétricos, de Automação e Diversos - Casa de Química</t>
  </si>
  <si>
    <t>10.2.1.2</t>
  </si>
  <si>
    <t>10.2.1.1</t>
  </si>
  <si>
    <t>10.2.1</t>
  </si>
  <si>
    <t>10.2</t>
  </si>
  <si>
    <t>2.5.2.1</t>
  </si>
  <si>
    <t>1.1.1.4</t>
  </si>
  <si>
    <t>1.1.1.3</t>
  </si>
  <si>
    <t>1.2.17</t>
  </si>
  <si>
    <t>1.2.16</t>
  </si>
  <si>
    <t>1.2.15</t>
  </si>
  <si>
    <t>1.2.14</t>
  </si>
  <si>
    <t>E-027</t>
  </si>
  <si>
    <t>Talha, Trole elétricos e Monovia da Casa de Cloração capacidade 2 t, L=21 m, h=5,10</t>
  </si>
  <si>
    <t>Talha, Trole e Monovia da Casa de Cloração</t>
  </si>
  <si>
    <t>-</t>
  </si>
  <si>
    <t>Painel de Comandos elétricos totalmente automatizado para comandar todos os equipamentos do sistema de Neutralização de Gás Cloro.</t>
  </si>
  <si>
    <t>Exaustor Centrífugo Q=5000h, pressão 80 mmca., tensão 380 V trifásico , 60 hz para aspiração de ar + gás cloro.</t>
  </si>
  <si>
    <t>Bombas de recirculação centrífugas monobloco verticais 7,5 m³/h AMT = 15 mca , tensão 380 V trifásico , 60 hz.</t>
  </si>
  <si>
    <t>Reservatório em corpo cilíndrico para solução neutralizadora Na OH (20%) em PEAD capacidade 6000 litros.</t>
  </si>
  <si>
    <t>Chaminé de descarga em poplipropileno cinza.</t>
  </si>
  <si>
    <t>Rede de dutos de aspeiração em polipropileno cinza. Estão incluídos toda as capações nas Salas de Cloração e Armazenamento de Cilindros, trajeto até os exaustores centrífugos.</t>
  </si>
  <si>
    <t>Lavador de Gases tipo torre de absorção com reação química com enchimento em anéis pall, corpo em polipropileno.</t>
  </si>
  <si>
    <t>COT-H-172</t>
  </si>
  <si>
    <t>Sistema de Neutralização de Gás Cloro (Fornecimento e Montagem) - Ítens 3.1 a 3.7</t>
  </si>
  <si>
    <t>Painel de comando automatico do sistema de cloração.</t>
  </si>
  <si>
    <t>Conjunto de tubulações, conexões e válvulas para o barrilete de alimentação de cloro e água p/ recirculação dos injetores.</t>
  </si>
  <si>
    <t>Detector de gás Cloro com um ponto de detectação.</t>
  </si>
  <si>
    <t>Detector de gás Cloro de dois pontos</t>
  </si>
  <si>
    <t>Medidor c/ indicador e transmissor de vazão Q=5,0m³/h.</t>
  </si>
  <si>
    <t>Analisador de cloro automático.</t>
  </si>
  <si>
    <t>Ejetores de Cloro Q=2,50 m³/h, Qcloro  = 50 kgCl/dia.</t>
  </si>
  <si>
    <t>Clorador Automático, capacidade de projeto 50 kgCl/dia.</t>
  </si>
  <si>
    <t>COT-H-163</t>
  </si>
  <si>
    <t>Sistema de Cloração Automático capacidade total de 100 kgCl/dia (Pré+Pos Cloração)  (Fornecimento e Montagem) - inclui os itens 1.1 a 1.8, conforme especificação técnica</t>
  </si>
  <si>
    <t>Fixação</t>
  </si>
  <si>
    <t>1.5.10</t>
  </si>
  <si>
    <t>Caixa de inspeção do terra com tampa, Ø50mm.</t>
  </si>
  <si>
    <t>Luminária tipo arandela blindada em alumínio fundido para lâmpada fluorescentes compacta de 85W .</t>
  </si>
  <si>
    <t xml:space="preserve">Lâmpada fluorescente compacta de 85W/220V. </t>
  </si>
  <si>
    <t>Perfilado perfurado 38x38x3000mm fabricado em aço galvanizado.</t>
  </si>
  <si>
    <t>Perfilados e afins</t>
  </si>
  <si>
    <t>Braçadeira "U" perfil com cunha cônica de aço galvanizado, para fixação de eletrodutos Ø 3/4".</t>
  </si>
  <si>
    <t>Caixa de ligação ("condulete"), tipo "E", Ø3/4", com 01 interruptor bipolar simples 15A.</t>
  </si>
  <si>
    <t>COT-E-070</t>
  </si>
  <si>
    <t xml:space="preserve">Caixa de ligação150x150mm, em alumínio fundido </t>
  </si>
  <si>
    <t>COT-E-035</t>
  </si>
  <si>
    <t>Quadro de luz da Casa de Cloração (QL-CLOR), para proteção e manobra de cargas de iluminação e tomadas, montado em caixa de sobrepor, conforme diagramas apresentados.</t>
  </si>
  <si>
    <t>COT-E-056</t>
  </si>
  <si>
    <t>Caixa de comando local 275x172mm, em alumínio fundido.</t>
  </si>
  <si>
    <t>Materiais e equipamentos - Casa de Cloração</t>
  </si>
  <si>
    <t>Fornecimento de Materiais e Equipamentos Elétricos, de Automação e Diversos - Casa de Cloração</t>
  </si>
  <si>
    <t>Abraçadeira em aço inox para fixação da tubulação de ø 2" ( 50 mm) na parede</t>
  </si>
  <si>
    <t>Acessórios para flanges ∅ 4", conforme AISI 16.5</t>
  </si>
  <si>
    <t>Conexões em Ferro Galvanizado</t>
  </si>
  <si>
    <t>Tubo ∅ 2" com roscas NPT, l=1,40m em FºGº.(Aço galv c/ costura NBR 5580 classe leve)</t>
  </si>
  <si>
    <t>Tubo ∅ 2" com roscas NPT, l=3,75m em FºGº.(Aço galv c/ costura NBR 5580 classe leve)</t>
  </si>
  <si>
    <t>Tubo ∅ 2" com roscas NPT, l=1,05m em FºGº.(Aço galv c/ costura NBR 5580 classe leve)</t>
  </si>
  <si>
    <t>Tubos em Ferro Galvanizado</t>
  </si>
  <si>
    <t>Registro de gaveta ∅ 2", com roscas NPT, em ferro galvanizado</t>
  </si>
  <si>
    <t>Válvula de retenção ∅2" com rosca NPT, em bronze</t>
  </si>
  <si>
    <t>COT-H-168</t>
  </si>
  <si>
    <t>Válvula de pé com crivo ∅2", com rosca NPT, em bronze</t>
  </si>
  <si>
    <t>Conjunto Moto bomba centrifugo eixo horizontal monobloco, Q=5 m³/h AMT=50 mca, POT=3CV. Completo com acessórios.</t>
  </si>
  <si>
    <t>Estação Elevatória de Água para Injetores</t>
  </si>
  <si>
    <t>1.2.1.2</t>
  </si>
  <si>
    <t>73861/006</t>
  </si>
  <si>
    <t>E-019</t>
  </si>
  <si>
    <t>COT-H-191</t>
  </si>
  <si>
    <t>Conjunto de parafusos, porcas e arruela de borracha para montagem de flanges ISO 2531 classe PN-10, Ø 80mm.</t>
  </si>
  <si>
    <t>Porcas, parafusos e arruelas</t>
  </si>
  <si>
    <t>COT-H-190</t>
  </si>
  <si>
    <t>Tela de proteção, Ø200mm, malha 1/8" x 1/8", fio 2,38mm.</t>
  </si>
  <si>
    <t>Materiais em Aço Inox</t>
  </si>
  <si>
    <t>Curva 90º c/ flanges ISO 2531 PN-10, Ø100mm, conforme NBR 7675.</t>
  </si>
  <si>
    <t>COT-H-189</t>
  </si>
  <si>
    <t>Curva 45º c/ flanges ISO 2531 PN-10, Ø80mm, conforme NBR 7675.</t>
  </si>
  <si>
    <t>COT-H-188</t>
  </si>
  <si>
    <t>Curva 90º c/ flanges ISO 2531 PN-10, Ø80mm, conforme NBR 7675.</t>
  </si>
  <si>
    <t>COT-H-187</t>
  </si>
  <si>
    <t>Curva 90º c/ bolsas, Ø 80mm, conforme NBR 7675.</t>
  </si>
  <si>
    <t>COT-H-186</t>
  </si>
  <si>
    <t>Tubo c/ flanges ISO 2531 PN-10, Ø 80mm, L=0,22m, conforme NBR 7675.</t>
  </si>
  <si>
    <t>COT-H-185</t>
  </si>
  <si>
    <t>Tubo c/ flanges ISO 2531 PN-10, Ø 100mm, L=0,40m, conforme NBR 7675.</t>
  </si>
  <si>
    <t>COT-H-184</t>
  </si>
  <si>
    <t>Tubo c/ flanges ISO 2531 PN-10, Ø 80mm, L=5,67m, conforme NBR 7675.</t>
  </si>
  <si>
    <t>COT-H-183</t>
  </si>
  <si>
    <t>Tubo c/ flanges ISO 2531 PN-10, Ø 80mm, L=2,17m, conforme NBR 7675.</t>
  </si>
  <si>
    <t>Tubo c/ flanges ISO 2531 PN-10, Ø 80mm, L=0,97m, conforme NBR 7675.</t>
  </si>
  <si>
    <t>COT-H-181</t>
  </si>
  <si>
    <t>Tubo c/ flanges ISO 2531 PN-10, Ø 80mm, L=4,24m, conforme NBR 7675.</t>
  </si>
  <si>
    <t>COT-H-180</t>
  </si>
  <si>
    <t>Tubo c/ flanges ISO 2531 PN-10, Ø 80mm, L=4,82m, conforme NBR 7675.</t>
  </si>
  <si>
    <t>COT-H-179</t>
  </si>
  <si>
    <t>Tubo c/ flanges ISO 2531 PN-10, Ø 80mm, L=5,08m, conforme NBR 7675.</t>
  </si>
  <si>
    <t>COT-H-178</t>
  </si>
  <si>
    <t>Tubo c/ flanges ISO 2531 PN-10, Ø 80mm, L=5,80m, conforme NBR 7675.</t>
  </si>
  <si>
    <t>COT-H-177</t>
  </si>
  <si>
    <t>Tubo c/ flanges ISO 2531 PN-10, Ø 80mm, L=0,19m, conforme NBR 7675.</t>
  </si>
  <si>
    <t>COT-H-176</t>
  </si>
  <si>
    <t>Tubo flange e ponta ISO 2531 PN-10, Ø80mm, l = 0,60m, conforme NBR 7675.</t>
  </si>
  <si>
    <t>COT-H-175</t>
  </si>
  <si>
    <t>Registro automático de entrada (RAE) Ø 80mm em ferro fundido c/ flange ISO 2531 PN-10.</t>
  </si>
  <si>
    <t>COT-H-174</t>
  </si>
  <si>
    <t>Registro de gaveta c/ flanges ISO 2531 classe PN-10, corpo curto e cunha de borracha,  Ø80mm, acionamento manual por volante.</t>
  </si>
  <si>
    <t>Válvulas, Registros e Comportas</t>
  </si>
  <si>
    <t>COT-H-173</t>
  </si>
  <si>
    <t>Reservatório de água potável  V = 50 m³ tipo taça coluna seca (h = 11,00m) em aço carbono, fornecido montado e instalado no local.</t>
  </si>
  <si>
    <t>Reservatório</t>
  </si>
  <si>
    <t>Reservatório Elevado</t>
  </si>
  <si>
    <t>Materiais para montagem (acabamento, fixação, isolação) como: parafusos, porcas, arruelas, suportes, chumbadores, buchas de nylon, terminais, fitas de nylon e outros.</t>
  </si>
  <si>
    <t>Molde para solda exotérmica, para cabo de Ø50mm² passante lateral a haste de Ø 3/4", em grafite.</t>
  </si>
  <si>
    <t>COT-E-118</t>
  </si>
  <si>
    <t>Suporte isolador para mastro simples.</t>
  </si>
  <si>
    <t>COT-E-084</t>
  </si>
  <si>
    <t>Conjunto para estaiamento, via cabos de aço, para mastro de Ø 2".</t>
  </si>
  <si>
    <t>COT-E-073</t>
  </si>
  <si>
    <t>Captor Franklin em latão, 4 pontas, 300mm, para 1 descida.</t>
  </si>
  <si>
    <t>COT-E-100</t>
  </si>
  <si>
    <t>Mastro em aço galvanizado para captor tipo franklin, ø 2" x 3 m, com luva de redução para Ø 3/4".</t>
  </si>
  <si>
    <t>COT-E-044</t>
  </si>
  <si>
    <t>Base para mastro Franklin Ø 2".</t>
  </si>
  <si>
    <t>COT-E-096</t>
  </si>
  <si>
    <t>Lâmpada estroboscópica a led branco, soquete E-27, 6 W, 220 V.</t>
  </si>
  <si>
    <t>COT-E-117</t>
  </si>
  <si>
    <t>Sinalizador noturno de obstáculos, visor vermelho, com relé foto-elétrico, soquete E-27, sem lâmpada.</t>
  </si>
  <si>
    <t>Sinalização</t>
  </si>
  <si>
    <t>br.</t>
  </si>
  <si>
    <t>Braçadeira tipo "U", para fixação de eletrodutos rígidos de Ø 1".</t>
  </si>
  <si>
    <t>Braçadeira tipo "U", para fixação de eletrodutos rígidos de Ø 3/4".</t>
  </si>
  <si>
    <t>COT-E-021</t>
  </si>
  <si>
    <t>Chave de nível tipo pêra com 1 contato reversível tipo "microswitch" para 10 A / 220 VCA ou 5 A / 250 VCC. Demais características conforme especificação técnica fornecida.</t>
  </si>
  <si>
    <t>COT-E-040</t>
  </si>
  <si>
    <t>Transmissor de nível tipo hidrostático pendular integral, sinalização padrão 4 a 20 mA a dois fios, faixa de medição de 0 a 10 metros, corpo em aço inox. Demais características conforme especificação técnica fornecida.</t>
  </si>
  <si>
    <t>Instrumentação</t>
  </si>
  <si>
    <t>Materiais e equipamentos - Res. Processos</t>
  </si>
  <si>
    <t>Fornecimento de Materiais e Equipamentos Elétricos, de Automação e Diversos - Res. Processos</t>
  </si>
  <si>
    <t>2.4.2.3</t>
  </si>
  <si>
    <t>2.4.2.2</t>
  </si>
  <si>
    <t>2.3.2.2</t>
  </si>
  <si>
    <t>2.3.2.1</t>
  </si>
  <si>
    <t>3.4.4.1</t>
  </si>
  <si>
    <t>3.4.4</t>
  </si>
  <si>
    <t>3.4.3.1</t>
  </si>
  <si>
    <t>3.3.2.2</t>
  </si>
  <si>
    <t>3.3.2.1</t>
  </si>
  <si>
    <t>3.2.2.1</t>
  </si>
  <si>
    <t>2.1.1.</t>
  </si>
  <si>
    <t>1.1.2.4</t>
  </si>
  <si>
    <t>1.1.2.3</t>
  </si>
  <si>
    <t>1.1.2.2</t>
  </si>
  <si>
    <t>C_268-021</t>
  </si>
  <si>
    <t>1.1.1.9</t>
  </si>
  <si>
    <t>C_268-020</t>
  </si>
  <si>
    <t>1.1.1.8</t>
  </si>
  <si>
    <t>C_268-019</t>
  </si>
  <si>
    <t>1.1.1.7</t>
  </si>
  <si>
    <t>C_268-018</t>
  </si>
  <si>
    <t>1.1.1.6</t>
  </si>
  <si>
    <t>C_268-017</t>
  </si>
  <si>
    <t>1.1.1.5</t>
  </si>
  <si>
    <t>Acessórios para montagem de flanges Ø500mm, PN-10.</t>
  </si>
  <si>
    <t>1.11.3</t>
  </si>
  <si>
    <t>Acessórios para montagem de flanges Ø200mm, PN-10.</t>
  </si>
  <si>
    <t>1.11.2</t>
  </si>
  <si>
    <t>Acessórios para montagem de flanges, Ø80mm, PN-10.</t>
  </si>
  <si>
    <t>1.11.1</t>
  </si>
  <si>
    <t>1.10.3</t>
  </si>
  <si>
    <t>Haste de prolongamento com quadrado e boca chave, para uso com chave "t", 1 1/8", l = 2,50 (ajustar  em campo), em ferro trefilado.</t>
  </si>
  <si>
    <t>Mancal intermediário, Ø 1 1/8", em ferro fundido.</t>
  </si>
  <si>
    <t>Diversos</t>
  </si>
  <si>
    <t>Guarda corpo tubular, h = 1,10m, em PRFV pultrudado.</t>
  </si>
  <si>
    <t>Materiais em PRFV</t>
  </si>
  <si>
    <t>1.8.8</t>
  </si>
  <si>
    <t>1.8.7</t>
  </si>
  <si>
    <t>1.8.6</t>
  </si>
  <si>
    <t>1.8.5</t>
  </si>
  <si>
    <t>Tubulações em PVC Soldável</t>
  </si>
  <si>
    <t>C_268-032</t>
  </si>
  <si>
    <t>Abraçadeira para tubulação, Ø 200mm em aço inox 304.</t>
  </si>
  <si>
    <t>00004365</t>
  </si>
  <si>
    <t>Abraçadeira para tubulação, Ø 50mm em aço inox 304.</t>
  </si>
  <si>
    <t>C_268-030</t>
  </si>
  <si>
    <t>Abraçadeira para tubulação, Ø 500mm em aço inox 304.</t>
  </si>
  <si>
    <t>C_268-029</t>
  </si>
  <si>
    <t>Suporte em aço inox, com abraçadeira p/ tubo Ø 80mm em ferro fundido, com chumbadores p/ fixação.</t>
  </si>
  <si>
    <t>C_268-028</t>
  </si>
  <si>
    <t>Suporte em aço inox, com abraçadeira p/ tubo Ø 500mm em ferro fundido, com chumbadores p/ fixação.</t>
  </si>
  <si>
    <t>Materiais em Aço inox</t>
  </si>
  <si>
    <t>Tê com bolsas, Ø 80mm, em ferro fundido com revestimento para esgoto.</t>
  </si>
  <si>
    <t>Curva 45º com flanges, Ø 80mm, PN-10, em ferro fundido com revestimento para esgoto.</t>
  </si>
  <si>
    <t>COT-H-439</t>
  </si>
  <si>
    <t>Flange cego, Ø 80mm, PN-10, em ferro fundido com revestimento para esgoto.</t>
  </si>
  <si>
    <t>COT-H-264</t>
  </si>
  <si>
    <t>Tê com flanges, Ø 80mm, PN-10, em ferro fundido com revestimento para esgoto.</t>
  </si>
  <si>
    <t>Curva 90º com flanges, Ø 500mm, PN-10, em ferro fundido com revestimento para esgoto.</t>
  </si>
  <si>
    <t>COT-H-202</t>
  </si>
  <si>
    <t>Luva com bolsas, Ø 500mm, l = 0,43m, em ferro fundido com revestimento para esgoto.</t>
  </si>
  <si>
    <t>Toco com flanges e aba de vedação, Ø 80mm, l= 0,70m, PN-10, em ferro fundido com revestimento para esgoto.</t>
  </si>
  <si>
    <t>Toco com flange, ponta e aba de vedação, Ø500mm, l = 0,70m, PN-10, em ferro fundido com revestimento para esgoto.</t>
  </si>
  <si>
    <t>Conexões em ferro fundido</t>
  </si>
  <si>
    <t>Tubo com flange e ponta, Ø 80mm, l = 0,21m, PN-10, em ferro fundido com revestimento para esgoto.</t>
  </si>
  <si>
    <t>COT-H-253</t>
  </si>
  <si>
    <t>Tubo com flanges, Ø 80mm, l = 1,45m, PN-10, em ferro fundido com revestimento para esgoto.</t>
  </si>
  <si>
    <t>COT-H-438</t>
  </si>
  <si>
    <t>Tubo com flanges, Ø 80mm, l = 5,36m, PN-10, em ferro fundido com revestimento para esgoto.</t>
  </si>
  <si>
    <t>Tubo com flanges, Ø500mm, l= 3,00m, PN-10, em ferro fundido com revestimento para esgoto.</t>
  </si>
  <si>
    <t>Tubo com flanges, Ø 500mm, l= 3,75m, PN-10, em ferro fundido com revestimento para esgoto.</t>
  </si>
  <si>
    <t>Tubo com ponta e bolsa Ø500mm, l = 0,62m, em ferro fundido com revestimento para esgoto.</t>
  </si>
  <si>
    <t>COT-H-437</t>
  </si>
  <si>
    <t>Tubo com flanges, Ø 80mm, l = 4,45m, PN-10, em ferro fundido com revestimento para esgoto.</t>
  </si>
  <si>
    <t>Tubo com flange e ponta c/ aba de vedação, Ø200mm, l = 0,50m, PN-10, em ferro fundido com revestimento para esgoto.</t>
  </si>
  <si>
    <t>Tubulações em ferro fundido</t>
  </si>
  <si>
    <t>Válvula guilhotina corpo bipartido com flanges, Ø 500mm, PN-10.</t>
  </si>
  <si>
    <t>Válvulas e Registros</t>
  </si>
  <si>
    <t>C_268-027</t>
  </si>
  <si>
    <t>Pedestal em perfis metálicos com monovia para talha e trole manuais capacidade máxima de 200 kg, dimensões conforme indicado no projeto.</t>
  </si>
  <si>
    <t>Tubo guia em aço inox Ø 50 mm espessura de 5 mm. L= 5,0 m com acessórios</t>
  </si>
  <si>
    <t>Curva 90º com flanges Ø 200 mm</t>
  </si>
  <si>
    <t>Rótula com flanges, Ø 200 mm</t>
  </si>
  <si>
    <t>Tê com flanges, Ø 200 mm</t>
  </si>
  <si>
    <t>Tubo com flanges, Ø 200 mm, L= 0,4 m x 2 pçs</t>
  </si>
  <si>
    <t>COT-H-210</t>
  </si>
  <si>
    <t>Conjunto flutuador, tubo coletor de clarificado em aço inox, Ø 6" (150mm), l = 5,91m, c/ flange liso para solda norma DIN 2576 PN-10, Ø 6" (150mm) e rótula com flanges norma DIN 2576 PN-10, Ø 6" (150mm), conforme especificação do fabricante (projeto sob responsabilidade do fabricante).</t>
  </si>
  <si>
    <t>Tanque de Equalização</t>
  </si>
  <si>
    <t>73998/005</t>
  </si>
  <si>
    <t>C_268-031</t>
  </si>
  <si>
    <t>Cantoneira em "Y" para apoio das grades de piso, com incerto contínuo 0,038m x 0,038 m x 0,005m.</t>
  </si>
  <si>
    <t>C_268-033</t>
  </si>
  <si>
    <t>Suporte com braçadeira para tubo de Ø100 mm com chumbadores para fixação em aço inox.</t>
  </si>
  <si>
    <t>Grade de piso em resina éster vinílica injetada reforçada com fibra de vidro (m²).</t>
  </si>
  <si>
    <t>COT-H-341</t>
  </si>
  <si>
    <t>C_268-034</t>
  </si>
  <si>
    <t>Acessório para proteção de flanges enterradas Ø 100 mm</t>
  </si>
  <si>
    <t>1.5.13</t>
  </si>
  <si>
    <t>Conjunto de parafusos, porcas e arruela de borracha para montagem de flanges ISO 2531 classe PN-10, Ø150mm.</t>
  </si>
  <si>
    <t>1.5.12</t>
  </si>
  <si>
    <t>Conjunto de parafusos, porcas e arruela de borracha para montagem de flanges ISO 2531 classe PN-10, Ø100mm.</t>
  </si>
  <si>
    <t>1.5.11</t>
  </si>
  <si>
    <t>Conjunto de parafusos, porcas e arruela de borracha para montagem de flanges ISO 2531 classe PN-10, Ø80mm.</t>
  </si>
  <si>
    <t>Curva 90º c/ flanges Ø80mm em ferro fundido flange conf. ISO 2531 PN-10, revest p/ esgoto.</t>
  </si>
  <si>
    <t>COT-H-336</t>
  </si>
  <si>
    <t>Redução excêntrica c/ flanges Ø150mm x Ø80mm em ferro fundido flange conf. ISO 2531 PN-10, revest p/ esgoto.</t>
  </si>
  <si>
    <t>Curva 90º c/ flanges Ø150mm em ferro fundido flange conf. ISO 2531 PN-10, revest p/ esgoto.</t>
  </si>
  <si>
    <t>COT-H-334</t>
  </si>
  <si>
    <t>Tê de redução c/ flanges Ø150mm x Ø100mm em ferro fundido flange conf. ISO 2531 PN-10, revest p/ esgoto.</t>
  </si>
  <si>
    <t>Toco c/ flanges Ø150mm, l = 0,25 m em ferro fundido flange conf. ISO 2531 PN-10.</t>
  </si>
  <si>
    <t>COT-H-333</t>
  </si>
  <si>
    <t>Toco c/ flanges Ø100mm, l = 0,20m em ferro fundido flange conf. ISO 2531 PN-10.</t>
  </si>
  <si>
    <t>Curva 90º c/ flanges Ø100mm em ferro fundido flange conf. ISO 2531 PN-10, revest p/ esgoto.</t>
  </si>
  <si>
    <t>COT-H-332</t>
  </si>
  <si>
    <t>Ampliação excêntrica Ø80mm (dnbomba) x Ø100mm com flanges  (confirmar dn bomba com fabricante) em ferro fundido flange conf. ISO 2531 PN-10, revest p/ esgoto.</t>
  </si>
  <si>
    <t>Tubo c/ flange e ponta Ø100mm, l = 2,45m em ferro fundido flange conf. ISO 2531 PN-10, revest p/ esgoto.</t>
  </si>
  <si>
    <t>Tubo c/ flange e ponta Ø150mm, l = 2,60m em ferro fundido flange conf. ISO 2531 PN-10, revest p/ esgoto.</t>
  </si>
  <si>
    <t>Tubo c/ flange  e ponta Ø80mm, l = 1,75m em ferro fundido flange conf. ISO 2531 PN-10, revest p/ esgoto.</t>
  </si>
  <si>
    <t>Tubo com flanges Ø150mm l=1,35 m (ajustar em campo) em ferro fundido flange conf. ISO 2531 PN-10, revest p/ esgoto.</t>
  </si>
  <si>
    <t>Tubo c/ flanges Ø100mm, l = 1,18 m em ferro fundido flange conf. ISO 2531 PN-10, revest p/ esgoto.</t>
  </si>
  <si>
    <t>COT-H-324</t>
  </si>
  <si>
    <t>Tubo c/ flanges Ø100mm, l = 4,25m em ferro fundido flange conf. ISO 2531 PN-10, revest p/ esgoto.</t>
  </si>
  <si>
    <t>Tubulações em Ferro Fundido</t>
  </si>
  <si>
    <t>COT-H-323</t>
  </si>
  <si>
    <t>Junta de desmontagem travada axialmente Ø100mm em ferro fundido flange conf. ISO 2531, PN-10.</t>
  </si>
  <si>
    <t>Juntas</t>
  </si>
  <si>
    <t>COT-H-250</t>
  </si>
  <si>
    <t>Válvula flap ø100mm c/ flange, corpo em ferro fundido, flange conf. ISO 2531 PN-10.</t>
  </si>
  <si>
    <t>COT-H-322</t>
  </si>
  <si>
    <t>Registro de gaveta Ø100mm com flanges, corpo curto com cunha de borracha, acionamento manual por volante, corpo em ferro fundido, flange conf. ISO 2531 PN-10.</t>
  </si>
  <si>
    <t>COT-H-321</t>
  </si>
  <si>
    <t>Válvula de retenção Ø100mm tipo portinhola simples corpo com flanges e inspeção em ferro fundido flange conf. ISO 2531 PN-10.</t>
  </si>
  <si>
    <t>COT-H-320</t>
  </si>
  <si>
    <t>Conjunto motor bomba submersível Q = 6 l/s, amt = 14,50mca, pot = 5,0hp, completo com acessórios de fixação, corrente, suportes etc.</t>
  </si>
  <si>
    <t>Estação Elevatória de Recirculação</t>
  </si>
  <si>
    <t>1.9.3</t>
  </si>
  <si>
    <t>1.9.2</t>
  </si>
  <si>
    <t>E-007</t>
  </si>
  <si>
    <t>E-015</t>
  </si>
  <si>
    <t>E-021</t>
  </si>
  <si>
    <t>COT-E-108</t>
  </si>
  <si>
    <t>Presilha para cabo de aço galvanizado #50mm².</t>
  </si>
  <si>
    <t>COT-E-107</t>
  </si>
  <si>
    <t>Poço de inspeção de aterramento com tampa removível,completa com conector.</t>
  </si>
  <si>
    <t>E-039</t>
  </si>
  <si>
    <t>Luminária tipo projetor, para lâmpada vapor de metalico de 250W/220V, corpo refletor estampado em chapa de alumínio, pescoço em liga de alumínio fundido apropriado para alojamento do equipamento com reator,ignitor e vidro refrator fixado ao corpo por meio de rosca.</t>
  </si>
  <si>
    <t>COT-E-097</t>
  </si>
  <si>
    <t>Leito de cabos com abas externas 400mm x 100mm, em barras de 6m, com luvas.</t>
  </si>
  <si>
    <t>Leitos para cabos e afins</t>
  </si>
  <si>
    <t>Perfilados e Afins</t>
  </si>
  <si>
    <t>Condulete tipo "E" em liga de alumínio fundido de Ø20mm, com uma tomada 2P+T, 25A, 250V.</t>
  </si>
  <si>
    <t>Condulete tipo "E" em liga de alumínio fundido de Ø20mm, com um interruptor duplo de 15A, 250V.</t>
  </si>
  <si>
    <t>COT-E-053</t>
  </si>
  <si>
    <t>Cabo para comunicação em redes padrão RS-485 Modbus, composto de um par trançado de fios de cobre sólidos de seção # 22 AWG e dupla blindagem composta de fita de poliéster aluminizada e malha de cobre estanhada. Classe de isolação 300 V.</t>
  </si>
  <si>
    <t>Cabo multipolar de cobre, classe 0,6/ 1 kV, isolação em composto termofixo tipo EPR colorido, enchimento em composto termoplástico tipo PVC, cobertura em composto termoplástico tipo PVC preto, veias distintas pela cor. Quatro veias de seção nominal 2,5 mm².</t>
  </si>
  <si>
    <t>Transmissor de nível tipo ultrassônico constituída de sensor, cabo de interligação a 3 fios e controlador micro-processado montado no próprio corpo do sensor, alimentação 24Vcc, sinal de saída 4-20mA, para reservatórios, conforme especificação técnica.</t>
  </si>
  <si>
    <t>COT-E-110</t>
  </si>
  <si>
    <t>Quadro de Luz (EQU-QL), conforme diagramas e especificação técnica apresentados.</t>
  </si>
  <si>
    <t>COT-E-104</t>
  </si>
  <si>
    <t>Painel de Controle da Bomba de Drenagem (EQU-PCBD), para proteção e acionamento de uma bomba de drenagem trifásica de 3 CV / 380 V via partida direta, montado em caixa de sobrepor, conforme diagramas apresentados.</t>
  </si>
  <si>
    <t>COT-E-020</t>
  </si>
  <si>
    <t>Centro de Controle de Motores 2 (EQU-CCM2), para acionamento via conversor de freqüência de 2 motores de 3 CV, 380 V, em regime de reserva / rodízio (1+1R), com proteção individual dos conversores via fusíveis ultra-rápidos, comunicação em rede serial MODBUS/ RS-485 e demais características conforme diagramas apresentados.</t>
  </si>
  <si>
    <t>COT-E-019</t>
  </si>
  <si>
    <t>Centro de Controle de Motores 1 (EQU-CCM1), para acionamento via conversor de freqüência de 3 motores de 5 CV, 380 V, em regime de reserva / rodízio (2+1R), com proteção individual dos conversores via fusíveis ultra-rápidos, comunicação em rede serial MODBUS/ RS-485 e demais características conforme diagramas apresentados.</t>
  </si>
  <si>
    <t>COT-E-029</t>
  </si>
  <si>
    <t>Painel de Controle da Estação (EQU-PCE), com controlador lógico programável, interface homem-máquina gráfica, "no-break", comunicação local via rede MODBUS/RS-485 e demais características conforme diagramas apresentados.</t>
  </si>
  <si>
    <t>COT-E-013</t>
  </si>
  <si>
    <t>Centro de Controle de Motores - Entrada (EQU-CCME), para entrada de cabos e proteção geral dos demais conjuntos CCM, demais características conforme diagramas apresentados.</t>
  </si>
  <si>
    <t>Materiais e equipamentos - EE de Recirculação</t>
  </si>
  <si>
    <t>Fornecimento de Materiais e Equipamentos Elétricos, de Automação e Diversos - EE de Recirculação</t>
  </si>
  <si>
    <t>4.2.1.1</t>
  </si>
  <si>
    <t>2.4.3.</t>
  </si>
  <si>
    <t>2.4.2.</t>
  </si>
  <si>
    <t>73965/016</t>
  </si>
  <si>
    <t>00004367</t>
  </si>
  <si>
    <t>Braçadeira em aço inox para parede, para tubulação Ø 3" (75 mm) (Braçadeira C/ Parafuso D = 3")</t>
  </si>
  <si>
    <t>C_268-035</t>
  </si>
  <si>
    <t>Suporte com braçadeira para tubo Ø 3" (75 mm) com chumbadores para fixação em aço inox.</t>
  </si>
  <si>
    <t>Grade Metálica eletrofundida com revestimento galvanizado (m²) (interna). - 0,56 x 0,28 m X 2 Pçs</t>
  </si>
  <si>
    <t>Guarda corpo para escada marinheiro em fibra de vidro, h= 1,10m.</t>
  </si>
  <si>
    <t>COT-H-442</t>
  </si>
  <si>
    <t xml:space="preserve">Escada tipo marinheiro, l = 5,03 m , com guarda corpo circular, l = 2,35m </t>
  </si>
  <si>
    <t>Curva de 90º, Ø 3" (75 mm), fêmea, raio longo, rosca interna NPT, aço Galvanizado</t>
  </si>
  <si>
    <t>COT-H-265</t>
  </si>
  <si>
    <t>Redução concêntrica Ø 80mm x 50mm c/ flanges em ferro fundido flange conf. ISO 2531 PN-10, revest. p/ esgoto.</t>
  </si>
  <si>
    <t>Tê c/ flanges Ø 80mm, em ferro fundido flange conf. ISO 2531 PN-10, revest. p/esgoto.</t>
  </si>
  <si>
    <t>COT-H-263</t>
  </si>
  <si>
    <t>Curva 90° c/ flanges Ø 80mm, em ferro fundido flange conf. ISO 2531 PN-10, revest. p/ esgoto</t>
  </si>
  <si>
    <t>Extremidade ponta e flange com aba de vedação ø80mm, l = 0,70 m, flange conforme ISO  2531 PN-10.</t>
  </si>
  <si>
    <t>Tubo Ø 3" (75 mm), barra l =0,25, pontas roscadas, rosca externa NPT.</t>
  </si>
  <si>
    <t>Tubo Ø 3" (75 mm), barra l =0,95, pontas roscadas, rosca externa NPT.</t>
  </si>
  <si>
    <t>Tubo Ø 3" (75 mm), barra l =3,60, pontas roscadas, rosca externa NPT.</t>
  </si>
  <si>
    <t>Tubo Ø 3" (75 mm), barra l =1,90, pontas roscadas, rosca externa NPT.</t>
  </si>
  <si>
    <t>Tubo Ø 3" (75 mm), barra l =3,0, pontas roscadas, rosca externa NPT.</t>
  </si>
  <si>
    <t>Tubulações e Conexões em Ferro Galvanizado</t>
  </si>
  <si>
    <t>Tubo ponta e flange Ø80mm, l= 3,25 m em ferro fundido flange conf. ISO 2531 PN-10, revest. p/ esgoto.</t>
  </si>
  <si>
    <t>Tubo c/ ponta e flange Ø 80mm, l = 0,16m em ferro fundido flange conf. ISO 2531 PN-10, revest. p/ esgoto.</t>
  </si>
  <si>
    <t>Tubo c/ flanges Ø 80mm, l = 0,96m em ferro fundido flange conf. ISO 2531 PN-10, revest. p/ esgoto.</t>
  </si>
  <si>
    <t>Tubo c/ flanges Ø80mm l = 1,35m,em ferro fundido flange conf. ISO 2531 PN-10, revest. p/esgoto.</t>
  </si>
  <si>
    <t>Válvula gaveta  com roscas Ø3" (75 mm), em bronze, rosca externa NPT.</t>
  </si>
  <si>
    <t>Válvula tipo gaveta Ø80mm com flanges, corpo curto, cunha de borracha acionamento manual por volante em ferro fundido flange conf. ISO 2531 PN-10.</t>
  </si>
  <si>
    <t>COT-H-248</t>
  </si>
  <si>
    <t>Válvula de retenção portinhola simples ø80mm, tipo wafer instalada entre flanges, disco revestido com elastômero, corpo em ferro fundido, com tirantes, arruelas e porcas para fixação entre flanges furação conf. ISO 2531 PN-10.</t>
  </si>
  <si>
    <t>Válvula de retenção tipo flap ø100mm, em ferro fundido, conf. ISO 2531 PN-10.</t>
  </si>
  <si>
    <t>COT-H-452</t>
  </si>
  <si>
    <t>Bomba submersível para drenagem, Q=7,5 m³/h, AMT= 7,0 mca, Pot = 2 CV, conexão roscada 2" / 3" (50/75 mm).</t>
  </si>
  <si>
    <t>COT-H-245</t>
  </si>
  <si>
    <t>Conjunto motor bomba de deslocamento positivo de cavidades sucessivas e instalação vertical, Qnominal = 1,5 m³/h , AMT = 30mca, pressão de serviço 7 bar, completo com interligações válvula de alívio e acessórios de fixação, corrente, suportes conforme escopo indicado no projeto em - conforme especificação técnica.</t>
  </si>
  <si>
    <t>Estação Elevatória de Lodo</t>
  </si>
  <si>
    <t>E-022</t>
  </si>
  <si>
    <t>Presilha para cabo de aço galvanizado Ø50mm².</t>
  </si>
  <si>
    <t>Junção tipo ''T'' para Perfilado perfurado de 38 x 38mm.</t>
  </si>
  <si>
    <t xml:space="preserve">Chave de nível tipo pêra com 1 contato reversível tipo "microswitch" para 10 A / 220 VCA ou 5 A / 250 VCC. Demais características conforme especificação técnica fornecida. </t>
  </si>
  <si>
    <t>Materiais e equipamentos - EE de Desc. Lodo</t>
  </si>
  <si>
    <t>Fornecimento de Materiais e Equipamentos Elétricos, de Automação e Diversos - EE de Desc. Lodo</t>
  </si>
  <si>
    <t>C_242-010</t>
  </si>
  <si>
    <t>COT-H-291</t>
  </si>
  <si>
    <t>Chapa dobrada "U", 16" x 3" x 1/8" em aço carbono - apoiada em pilar de blocos de concreto estrutural.</t>
  </si>
  <si>
    <t>COT-H-290</t>
  </si>
  <si>
    <t>Grelha, l=0,30m p/ piso em ferro fundido</t>
  </si>
  <si>
    <t>Materiais em Ferro Fundido</t>
  </si>
  <si>
    <t>113,30</t>
  </si>
  <si>
    <t>131,85</t>
  </si>
  <si>
    <t>144,25</t>
  </si>
  <si>
    <t>Conexões em PVC Soldável</t>
  </si>
  <si>
    <t>COT-H-285</t>
  </si>
  <si>
    <t>Guarda corpo tubular removível, h = 1,10m em fibra de vidro.</t>
  </si>
  <si>
    <t>Guarda-corpo tubular, h=1,10m em fibra de vidro.</t>
  </si>
  <si>
    <t>COT-H-284</t>
  </si>
  <si>
    <t>Guarda-corpo tubular inclinado, h=1,10m em fibra de vidro.</t>
  </si>
  <si>
    <t>Tê Ø80mm c/ flanges em ferro fundido, flange conforme ISO 2531 PN-10.</t>
  </si>
  <si>
    <t>COT-H-283</t>
  </si>
  <si>
    <t>Curva 45º Ø80mm, em ferro fundido, flange conforme ISO 2531 PN-10.</t>
  </si>
  <si>
    <t>Curva 90º Ø80mm, em ferro fundido, flange conforme ISO 2531 PN-10.</t>
  </si>
  <si>
    <t>COT-H-282</t>
  </si>
  <si>
    <t>Tubo ponta e flange Ø80mm, l=5,43m, em ferro fundido, flange conforme ISO 2531        PN-10.</t>
  </si>
  <si>
    <t>COT-H-281</t>
  </si>
  <si>
    <t>Tubo ponta e flange Ø80mm, l=1,50m, em ferro fundido, flange conforme ISO 2531      PN-10.</t>
  </si>
  <si>
    <t>COT-H-280</t>
  </si>
  <si>
    <t>Tubo c/ flanges Ø80mm, l=0,20m, em ferro fundido, flange conforme ISO 2531 PN-10</t>
  </si>
  <si>
    <t>COT-H-279</t>
  </si>
  <si>
    <t>Válvula de retenção por cone, em PVC soldável, Ø1 1/2".</t>
  </si>
  <si>
    <t>COT-H-276</t>
  </si>
  <si>
    <t>Galpão pré moldado em concreto armado 10,00 x 10,00 x 7,00 m.</t>
  </si>
  <si>
    <t>Galpões</t>
  </si>
  <si>
    <t>C_268-004</t>
  </si>
  <si>
    <t>Estrutura de suporte para monovia (Capacidade 2 t)</t>
  </si>
  <si>
    <t>COT-H-275</t>
  </si>
  <si>
    <t>Talha manual e monovia completa- capacidade 2 ton, L=4,70m (com estrutura, acessórios, ETC).</t>
  </si>
  <si>
    <t>COT-H-274</t>
  </si>
  <si>
    <t>Caçamba para transporte de lodo desidratado (tipo "brooks" - v=6m³) .</t>
  </si>
  <si>
    <t>COT-H-273</t>
  </si>
  <si>
    <t>Centrífuga para desidratação de lodo, Q=1,5m³/h.</t>
  </si>
  <si>
    <t>COT-H-272</t>
  </si>
  <si>
    <t>Tanque circular V=1,80m³ em fibra de vidro.</t>
  </si>
  <si>
    <t>COT-H-271</t>
  </si>
  <si>
    <t>Bomba helicoidal para dosagem de polieletrólito, completa (com base, adaptadores, acessórios, etc.), Q=0,5 m³/h, amt = 25 mca, pot. =1,0 cv.</t>
  </si>
  <si>
    <t>COT-H-270</t>
  </si>
  <si>
    <t>Misturador p/ tanque de preparo de polieletrólito, pot = 0,50cv.</t>
  </si>
  <si>
    <t>Unidade de Desidratação Mecanizada de Lodo</t>
  </si>
  <si>
    <t>2.3.3.1</t>
  </si>
  <si>
    <t>E-029</t>
  </si>
  <si>
    <t>1.3.29</t>
  </si>
  <si>
    <t>1.3.28</t>
  </si>
  <si>
    <t>1.3.27</t>
  </si>
  <si>
    <t>1.3.26</t>
  </si>
  <si>
    <t>COT-E-064</t>
  </si>
  <si>
    <t>Caixa de ligação ("condulete"), tipo "LB", Ø2", com tampa cega.</t>
  </si>
  <si>
    <t>1.3.25</t>
  </si>
  <si>
    <t>COT-E-065</t>
  </si>
  <si>
    <t>Caixa de ligação ("condulete"), tipo "LL", Ø2", com tampa cega.</t>
  </si>
  <si>
    <t>1.3.24</t>
  </si>
  <si>
    <t>1.3.23</t>
  </si>
  <si>
    <t>1.3.22</t>
  </si>
  <si>
    <t>COT-E-068</t>
  </si>
  <si>
    <t>Caixa de ligação ("condulete"), tipo "LL", Ø1.1/2", com tampa cega.</t>
  </si>
  <si>
    <t>1.3.21</t>
  </si>
  <si>
    <t>1.3.20</t>
  </si>
  <si>
    <t>1.3.19</t>
  </si>
  <si>
    <t>1.3.18</t>
  </si>
  <si>
    <t>COT-E-083</t>
  </si>
  <si>
    <t>Conector tipo macho giratório, Ø2".</t>
  </si>
  <si>
    <t>1.3.17</t>
  </si>
  <si>
    <t>COT-E-080</t>
  </si>
  <si>
    <t>Conector tipo fêmea fixa, Ø2".</t>
  </si>
  <si>
    <t>1.3.16</t>
  </si>
  <si>
    <t>COT-E-082</t>
  </si>
  <si>
    <t>Conector tipo macho giratório, Ø1.1/2".</t>
  </si>
  <si>
    <t>COT-E-079</t>
  </si>
  <si>
    <t>Conector tipo fêmea fixa, Ø1.1/2".</t>
  </si>
  <si>
    <t>Bucha e arruela para eletrodutos rígidos de Ø1.1/2".</t>
  </si>
  <si>
    <t>Braçadeira "U" perfil com cunha cônica de aço galvanizado, para fixação de eletrodutos Ø1.1/2".</t>
  </si>
  <si>
    <t>Braçadeira "U" perfil com cunha cônica de aço galvanizado, para fixação de eletrodutos Ø3/4" .</t>
  </si>
  <si>
    <t>Luva para eletroduto rígido de aço galvanizado, Ø 4".</t>
  </si>
  <si>
    <t>COT-E-009</t>
  </si>
  <si>
    <t>Cabo multipolar de cobre, classe 0,6/1kV, isolação em composto termofixo tipo EPR colorido, enchimento em composto termoplástico tipo PVC, cobertura em composto termoplástico tipo PVC preto, veias distintas pela cor. Quatro veias de seção nominal 4mm².</t>
  </si>
  <si>
    <t>COT-E-036</t>
  </si>
  <si>
    <t>Quadro de luz da Casa de Lodo (QL-CL), para proteção e manobra de cargas de iluminação e tomadas, montado em caixa de sobrepor, conforme diagramas apresentados.</t>
  </si>
  <si>
    <t>Materiais e equipamentos - SDL</t>
  </si>
  <si>
    <t>Fornecimento de Materiais e Equipamentos Elétricos, de Automação e Diversos - Desidratação de Lodo</t>
  </si>
  <si>
    <t>73607</t>
  </si>
  <si>
    <t>73963/015</t>
  </si>
  <si>
    <t>2.2.2.2</t>
  </si>
  <si>
    <t>1.8.1.1</t>
  </si>
  <si>
    <t>Tampões</t>
  </si>
  <si>
    <t>Poços de Visita</t>
  </si>
  <si>
    <t>1.8.4.4</t>
  </si>
  <si>
    <t>1.8.4.3</t>
  </si>
  <si>
    <t>1.8.4.2</t>
  </si>
  <si>
    <t>1.8.4.1</t>
  </si>
  <si>
    <t>Conexõex em PVC</t>
  </si>
  <si>
    <t>1.8.3.1</t>
  </si>
  <si>
    <t>Tê Ø 1" x 1" , classe 150 psi .Classe 150 lbs. Conforme Norma ASME B16.11.  Rosca NPT.</t>
  </si>
  <si>
    <t>1.8.2.6</t>
  </si>
  <si>
    <t>Bucha de redução Ø 1" x 1/2" classe 150 psi.  Classe 150 lbs. Conforme Norma ASME B16.11.  Rosca NPT.</t>
  </si>
  <si>
    <t>1.8.2.5</t>
  </si>
  <si>
    <t>Bujão de cabeça sextavada ∅1" classe 150 psi.  Classe 150 lbs. Conforme Norma ASME B16.11.  Rosca NPT.</t>
  </si>
  <si>
    <t>1.8.2.4</t>
  </si>
  <si>
    <t>Braçadeira para fixação de tubulação ∅1/2"</t>
  </si>
  <si>
    <t>1.8.2.3</t>
  </si>
  <si>
    <t>Curva 45º ∅1/2" classe 150 psi  - Conforme Norma  A351/06.  Classe 150 lbs. Conforme Norma ASME B16.11. Rosca NPT.</t>
  </si>
  <si>
    <t>1.8.2.2</t>
  </si>
  <si>
    <t>Curva 90º ∅1/2" classe 150 psi - Conforme Norma  A351/06. Rosca NPT, Classe 150 lbs. Conforme Norma ASME B16.11.  Rosca NPT.</t>
  </si>
  <si>
    <t>1.8.2.1</t>
  </si>
  <si>
    <t>Conexões e acessórios</t>
  </si>
  <si>
    <t xml:space="preserve">Tubo com roscas ∅1" classe 150 psi. Em aço inox. AISI 304. Norma ASME B.36.19. Schedule 40S. </t>
  </si>
  <si>
    <t>1.8.1.2</t>
  </si>
  <si>
    <t xml:space="preserve">Tubo com roscas ∅1/2" classe 150 psi. Em aço inox. AISI 304. Norma ASME B.36.19. Schedule 40S. </t>
  </si>
  <si>
    <t>Tubulação em aço inox</t>
  </si>
  <si>
    <t>Tubulações da canaleta de produtos químicos</t>
  </si>
  <si>
    <t>Curva 90º Ø 20", quatro gomos, c/ pontas biseladas para solda,   chapa espessura e = 1/4", em aço carbono ASTM A-283, AWWA C-200, revest. conf. AWWA C210</t>
  </si>
  <si>
    <t>1.7.2.1</t>
  </si>
  <si>
    <t>Tubulação em Aço carbono com pontas biseladas para solda, Ø 20" (500 mm).</t>
  </si>
  <si>
    <t>1.7.1.1</t>
  </si>
  <si>
    <t>Tubulação em Aço carbono</t>
  </si>
  <si>
    <t>Linha de Lavagem dos filtros</t>
  </si>
  <si>
    <t>Curva de 45º PVC PBS, Ø 110 mm para água.</t>
  </si>
  <si>
    <t>1.6.2.2</t>
  </si>
  <si>
    <t>Curva de 90º PVC PBS, Ø 110 mm para água.</t>
  </si>
  <si>
    <t>1.6.2.1</t>
  </si>
  <si>
    <t>Tubulação em PVC PBS, Ø 110 mm, para água, L= 114,00 m.</t>
  </si>
  <si>
    <t>1.6.1.1</t>
  </si>
  <si>
    <t>Tubulação em PVC PBS</t>
  </si>
  <si>
    <t>Linha de Recalque para reservatório elevado</t>
  </si>
  <si>
    <t>COT-H-317</t>
  </si>
  <si>
    <t>Curva 90º  Ø 24", quatro gomos, c/ pontas biseladas para solda,   chapa espessura e=1/4", em aço carbono ASTM A-283, revest. conf. AWWA C210.</t>
  </si>
  <si>
    <t>1.5.2.3</t>
  </si>
  <si>
    <t>COT-H-316</t>
  </si>
  <si>
    <t>Calota torisférica em aço com pontas, Ø 24"c/ pontas biseladas para solda,   classe 100 psi, em aço carbono ASTM A-283, revest. conf. AWWA C210.</t>
  </si>
  <si>
    <t>1.5.2.2</t>
  </si>
  <si>
    <t>COT-H-315</t>
  </si>
  <si>
    <t>Tê Ø 24", reforço envolvente tipo 1 c/ pontas biseladas para solda,   chapa espessura e=1/4", em aço carbono ASTM A-283, revest. conf. AWWA C210.</t>
  </si>
  <si>
    <t>1.5.2.1</t>
  </si>
  <si>
    <t>COT-H-308</t>
  </si>
  <si>
    <t>Tubo em aço com pontas, Ø 24", c/ pontas biseladas para solda,   chapa espessura e=1/4", em aço carbono ASTM A-283, AWWA C200 revest. conf. AWWA C210.</t>
  </si>
  <si>
    <t>1.5.1.1</t>
  </si>
  <si>
    <t>Tubulação em aço carbono</t>
  </si>
  <si>
    <t>Tubulação de água filtrada: Filtro para Reservatório Pulmão.</t>
  </si>
  <si>
    <t>Tubulações de PVC deFofo</t>
  </si>
  <si>
    <t>Interligação de drenagem  da casa de desidratação para poço de manobra</t>
  </si>
  <si>
    <t>COT-H-307</t>
  </si>
  <si>
    <t>Curva 90º com bolsas, Ø 80mm, conforme ISO 2531 PN-10.</t>
  </si>
  <si>
    <t>1.3.2.2</t>
  </si>
  <si>
    <t>COT-H-306</t>
  </si>
  <si>
    <t>Curva 45º com bolsas, Ø 80mm, conforme ISO 2531 PN-10.</t>
  </si>
  <si>
    <t>1.3.2.1</t>
  </si>
  <si>
    <t>Tubo  com pontas junta elástica,  Ø 80mm, conforme ISO  2531 PN-10, revest. Para esgoto. L=0,57m.</t>
  </si>
  <si>
    <t>1.3.1.3</t>
  </si>
  <si>
    <t>Tubo  com pontas junta elástica,  Ø 80mm, conforme ISO  2531 PN-10, revest. Para esgoto. L= 5,03 m.</t>
  </si>
  <si>
    <t>1.3.1.2</t>
  </si>
  <si>
    <t>Tubo  com pontas junta elástica,  Ø 80mm, conforme ISO  2531 PN-10, revest. Para esgoto. L= 6,0 m.</t>
  </si>
  <si>
    <t>Recalque Lodo</t>
  </si>
  <si>
    <t>1.2.2.1</t>
  </si>
  <si>
    <t>Tubulação de Concreto Armado</t>
  </si>
  <si>
    <t>COT-H-295</t>
  </si>
  <si>
    <t>Tubo de Ferro Fundido com ponta e bolsa, Ø700mm,  ISO 2531 PN-10, conforme NBR 7475, l (ajustar em campo) p/ esgoto por gravidade. ( 13pç x L= 7,0 m)</t>
  </si>
  <si>
    <t>Descarga dos floculadores e Decantadores</t>
  </si>
  <si>
    <t>C_268-062</t>
  </si>
  <si>
    <t>Braçadeiras com parafusos para fixação da tubulação de Ø 150 mm na parede</t>
  </si>
  <si>
    <t>1.1.4.2</t>
  </si>
  <si>
    <t>Conjunto de parafusos, porcas e arruela de borracha para montagem de flanges ISO 2531 classe PN-10, Ø150mm (sucção/recalque cj moto bomba)</t>
  </si>
  <si>
    <t>1.1.4.1</t>
  </si>
  <si>
    <t xml:space="preserve">Acessórios </t>
  </si>
  <si>
    <t>Curva 90º c/ flanges, Ø 150mm -Flange conforme ISO 2531 PN-10, conforme NBR 7475.</t>
  </si>
  <si>
    <t>1.1.3.3</t>
  </si>
  <si>
    <t>Curva 45º c/ bolsas, Ø 150mm - PN 10.</t>
  </si>
  <si>
    <t>1.1.3.2</t>
  </si>
  <si>
    <t>COT-H-294</t>
  </si>
  <si>
    <t>Curva 90º c/ bolsas, Ø 150mm - PN-10.</t>
  </si>
  <si>
    <t>Conexões de Ferro fundido</t>
  </si>
  <si>
    <t xml:space="preserve">Tubo de Ferro Fundido com flanges, Ø150 mm,  ISO 2531 PN-10, flanges conforme NBR 7475, l=0,35 m p/ esgoto por gravidade. </t>
  </si>
  <si>
    <t xml:space="preserve">Tubo de Ferro Fundido com flanges, Ø150 mm,  ISO 2531 PN-10, flanges conforme NBR 7475, l=5,80 m p/ esgoto por gravidade. </t>
  </si>
  <si>
    <t xml:space="preserve">Tubo de Ferro Fundido com ponta e bolsa, Ø150 mm,  ISO 2531 PN-10, conforme NBR 7475, l=0,95m p/ esgoto por gravidade. </t>
  </si>
  <si>
    <t>Tubulação de PVC deFoFo</t>
  </si>
  <si>
    <t>Linha de retorno de água do sistema de recuperação - principal.</t>
  </si>
  <si>
    <t>Interligações</t>
  </si>
  <si>
    <t>1.4.2.1</t>
  </si>
  <si>
    <t>7.3.1.1</t>
  </si>
  <si>
    <t>7.1.2.1</t>
  </si>
  <si>
    <t>73987/001</t>
  </si>
  <si>
    <t>3.1.1.4.1</t>
  </si>
  <si>
    <t>3.1.1.4</t>
  </si>
  <si>
    <t>3.1.1.3.1</t>
  </si>
  <si>
    <t>C_268-023</t>
  </si>
  <si>
    <t>Suporte de teto tipo "gota" para tubo Ø 3" (75mm), em aço cabono.</t>
  </si>
  <si>
    <t>1.10.9</t>
  </si>
  <si>
    <t>COT-H-448</t>
  </si>
  <si>
    <t>Grade para canaleta de drenagem l=0,30m, resina ester vinílica reforçada com fibra de vidro, montada, altura 38mm, malha de 38 x 38mm, em PRFV Pultrudado - 5,50 m X 0,30m</t>
  </si>
  <si>
    <t>1.10.8</t>
  </si>
  <si>
    <t>C_268-026</t>
  </si>
  <si>
    <t>Suporte para tubulação Ø600mm (FoFo), horizontal, em aço carbono estrutural.</t>
  </si>
  <si>
    <t>1.10.7</t>
  </si>
  <si>
    <t>Grade em resina éster vinílica reforçada com fibra de vidro montada, altura 38 mm, Malha de 38 x 38mm, em PRFV pultrudado - área da metade do círculo: 0,416 m²  (D=1,10 m)</t>
  </si>
  <si>
    <t>1.10.6</t>
  </si>
  <si>
    <t>C_268-025</t>
  </si>
  <si>
    <t>Suporte para tubulação Ø500mm (FoFo) horizontal em aço carbono esturutural .</t>
  </si>
  <si>
    <t>1.10.5</t>
  </si>
  <si>
    <t>COT-H-446</t>
  </si>
  <si>
    <t>Escada tipo marinheiro em aço carbono , h=1,70m</t>
  </si>
  <si>
    <t>1.10.4</t>
  </si>
  <si>
    <t>Guarda Corpo removível, h= 1,10m em PRFV pultrudado.</t>
  </si>
  <si>
    <t>COT-H-445</t>
  </si>
  <si>
    <t>Escada metálica interna, em aço carbono, H=0,7m.</t>
  </si>
  <si>
    <t>Cotovelo 45º, Ø 3"(75mm), fêmea, rosca externa NPT.</t>
  </si>
  <si>
    <t>1.9.5</t>
  </si>
  <si>
    <t>Cotovelo 90º, Ø 3"(75mm), fêmea, rosca externa NPT.</t>
  </si>
  <si>
    <t>1.9.4</t>
  </si>
  <si>
    <t>Curva de 90º, Ø3" (75 mm) , fêmea, raio longo, rosca externa NPT.</t>
  </si>
  <si>
    <t>Conexões em ferro maleável</t>
  </si>
  <si>
    <t>Tubo Ø 3" (75 mm), L=4,15, pontas roscadas, rosca externa NPT.</t>
  </si>
  <si>
    <t>Tubo Ø 3" (75 mm), L=1,50, pontas roscadas, rosca externa NPT.</t>
  </si>
  <si>
    <t>Tubo Ø 3" (75 mm), L=0,27, pontas roscadas, rosca externa NPT.</t>
  </si>
  <si>
    <t>Tubo Ø 3" (75 mm), L=0,24, pontas roscadas, rosca externa NPT.</t>
  </si>
  <si>
    <t>Tubo Ø 3" (75mm), barra L=0,12m, pontas roscadas, rosca externa NPT. X 9 pçs</t>
  </si>
  <si>
    <t>Tubulação em ferro maleável galvanizado</t>
  </si>
  <si>
    <t>Calota tonisférica biseladas para solda Ø 32" (800mm), e=1/4", aço ASTM A283 GRD, conforme AWWA C-200 E AWWA C-210-07.</t>
  </si>
  <si>
    <t>C_268-037</t>
  </si>
  <si>
    <t>Curva  45º com 3 gomos, Pontas biseladas para solda Ø 24" (600mm), e=1/4", L=0,63 m. Aço ASTM A 283 GR D, conforme AWWA C-200 E AWWA C-210-07</t>
  </si>
  <si>
    <t>Tê com pontas biseladas para solda Ø 32" (800mm) x 24" (600mm), e=1/4", reforço envolvente, em aço ASTM A 283 GRD. Conforme AWWA C-200 E AWWA C-210-07</t>
  </si>
  <si>
    <t xml:space="preserve">Flange liso para solda Ø20" ( 500 mm ), Aço ASTM A - 181, confome normas DIN 2576  PN - 10 E AWWA C -210. </t>
  </si>
  <si>
    <t xml:space="preserve">Flange liso para solda Ø24" ( 600 mm ), Aço ASTM A - 181, confome normas DIN 2576  PN - 10 E AWWA C -210. </t>
  </si>
  <si>
    <t>Tubo com pontas biseladas para solda Ø32" (800mm), e= 1/4", L= 0,85 m. Aço ASTM A 283 GRD. Furação conforme AWWA C-200 E AWWA C-210-07</t>
  </si>
  <si>
    <t>Tubo com pontas biseladas para solda Ø32" (800mm), e= 1/4", L= 0,61 m. Aço ASTM A 283 GRD. Furação conforme AWWA C-200 E AWWA C-210-07</t>
  </si>
  <si>
    <t>Tubo com pontas biseladas para solda Ø24" (600mm), e= 1/4", L=2,35 m. Aço ASTM A 283 GRD. Furação conforme AWWA C-200 E AWWA C-210-07 (x2 pçs)</t>
  </si>
  <si>
    <t>Tubo com pontas biseladas para solda Ø24" (600mm), e= 1/4", L= 0,63 m. Aço ASTM A 283 GRD. Furação conforme AWWA C-200 E AWWA C-210-07 (x 2 pçs)</t>
  </si>
  <si>
    <t>Tubo com pontas biseladas para solda Ø20" (500mm), e= 1/4", L= 1,50 m. Aço ASTM A 283 GRD. Furação conforme AWWA C-200 E AWWA C-210-07 - 1 pç</t>
  </si>
  <si>
    <t>Tubo com pontas biseladas para solda Ø24" (600mm), e= 1/4", L= 1,50 m. Aço ASTM A 283 GRD. Furação conforme AWWA C-200 E AWWA C-210-07</t>
  </si>
  <si>
    <t>Conjunto de parafusos, porcas e arruela de borracha para montagem de flanges Ø600mm flange conf. ISO 2531 PN-10</t>
  </si>
  <si>
    <t>Conjunto de parafusos, porcas e arruela de borracha para montagem de flanges Ø500mm flange conf. ISO 2531 PN-10</t>
  </si>
  <si>
    <t>C_268-061</t>
  </si>
  <si>
    <t>Conjunto de parafusos, porcas e arruela de borracha para montagem de flanges ISO 2531 classe PN-10, Ø300mm (sucção/recalque cj moto bomba)</t>
  </si>
  <si>
    <t>PÇ</t>
  </si>
  <si>
    <t>Flange Cego Ø500mm, em ferro fundido flange conf. ISO 2531 PN-10</t>
  </si>
  <si>
    <t>Curva 22º 30" com flanges, Ø500mm em ferro fundido flange conf. ISO 2531 PN-10</t>
  </si>
  <si>
    <t>COT-H-242</t>
  </si>
  <si>
    <t>Redução concêntrica com flanges Ø500mm x Ø300mm, l = 0,60m, em ferro fundido flange conf. ISO 2531 PN-10</t>
  </si>
  <si>
    <t>COT-H-241</t>
  </si>
  <si>
    <t>Redução excêntrica com flanges Ø600mm x Ø300mm, l = 0,60m em ferro fundido flange conf. ISO 2531 PN-10</t>
  </si>
  <si>
    <t>Curva 90º com flanges, Ø500mm em ferro fundido flange conf. ISO 2531 PN-10.</t>
  </si>
  <si>
    <t>COT-H-240</t>
  </si>
  <si>
    <t>Tê Ø500mm x Ø500mm, com flanges em ferro fundido flange conf. ISO 2531 PN-10.</t>
  </si>
  <si>
    <t>Tubo com pontas ∅100mm, l=1,20m, conforme ISO 2531, PN - 10.</t>
  </si>
  <si>
    <t>Tubo com flanges Ø500mm com flanges, L=1,20m, conforme ISO  2531  PN - 10.</t>
  </si>
  <si>
    <t>COT-H-233</t>
  </si>
  <si>
    <t>Tubo com flanges, Ø600mm, l = 0,37m, em ferro fundido flange conf. ISO 2531 PN-10.</t>
  </si>
  <si>
    <t>Tê com flanges, ø 500mm p/ furação dos flanges conforme norma ISO 2531 PN-10.</t>
  </si>
  <si>
    <t>Toco com flanges ø 500mm , L=0,25 m ,  p/ furação dos flanges conforme norma ISO 2531 PN-10.</t>
  </si>
  <si>
    <t>Junta de desmontagem travada axialmente, ø 600mm p/ furação dos flanges conforme norma ISO 2531 PN-10.</t>
  </si>
  <si>
    <t>Válvula de gaveta Ø 3" (75mm) com roscas, rosca externa NPT .</t>
  </si>
  <si>
    <t>Válvula de retenção Ø 3" (75 mm), bronze, rosca externa NPT.</t>
  </si>
  <si>
    <t>Válvula borboleta ø 500mm com flanges, corpo curto e acionamento manual por redutor c/ volante, em ferro fundido, conf. AWWA C 504 classe 150B, flange conf. ISO 2531 PN-10.</t>
  </si>
  <si>
    <t xml:space="preserve">Válvula de retenção de fechamento rápido tipo Wafer, Ø 500mm, com acessórios para montagem entre flanges, conforme ISO 2531. </t>
  </si>
  <si>
    <t>COT-H-229</t>
  </si>
  <si>
    <t>Válvula borboleta ø 600mm com flanges, corpo curto e acionamento manual por redutor c/ volante, em ferro fundido, conf. AWWA C 504 classe 150B, flange conf. ISO 2531 PN-10.</t>
  </si>
  <si>
    <t>1.2.1.</t>
  </si>
  <si>
    <t>Válvulas e registros</t>
  </si>
  <si>
    <t>Bomba submersível para drenagem, Q=7,5 m³/h, AMT 8,0 mca, POT 2 CV, conexão roscada 3"/2" (50/75 mm).</t>
  </si>
  <si>
    <t>Talha com trole elétrica, capacidade 2 ton., com monovia em perfil metálico em aço carbono estrural "I", l=8,2m</t>
  </si>
  <si>
    <t>Talha com trole manuais, capacidade 1ton., com monovia em perfil metálico em aço carbono estrutural L=8,20m.</t>
  </si>
  <si>
    <t>COT-H-227</t>
  </si>
  <si>
    <t>Conjunto motor-bomba centrífugo de eixo horizontal, Q=245 l/s, AMT=8,5mca e rotação = 1160rpm, motor 50cv, completo com base e acessórios.</t>
  </si>
  <si>
    <t xml:space="preserve">1.1 </t>
  </si>
  <si>
    <t>Estação Elevatória de Água para Lavagem dos Filtros</t>
  </si>
  <si>
    <t>E-005</t>
  </si>
  <si>
    <t>E-004</t>
  </si>
  <si>
    <t>1.8.10</t>
  </si>
  <si>
    <t>1.8.9</t>
  </si>
  <si>
    <t>Luminária tipo industrial, com refletor de facho aberto, soquete E-40, para lâmpadas de 150 W tipo V.M.H.M., completa, com reator, ignitor e capacitor de correção do F.P.</t>
  </si>
  <si>
    <t>COT-E-095</t>
  </si>
  <si>
    <t>Junção reta em para leito de cabos em perfil de fibra de vidro pultrudada com resina estervinílica, para longarina com altura 100mm.</t>
  </si>
  <si>
    <t>COT-E-098</t>
  </si>
  <si>
    <t>Leito para cabos em perfil de fibra de vidro pultrudada com resina estervinílica, tipo leve, aba interna, altura da longarina 100mm, largura 300mm, distância entre apoios 250 mm, comprimento 3 metros.</t>
  </si>
  <si>
    <t>COT-E-112</t>
  </si>
  <si>
    <t>Saída lateral para eletroduto Ø 1".</t>
  </si>
  <si>
    <t>Saída lateral para eletroduto Ø 3/4".</t>
  </si>
  <si>
    <t>Junção reta "I" para perfilado 38x38 mm.</t>
  </si>
  <si>
    <t>COT-E-093</t>
  </si>
  <si>
    <t>Junção "X" para perfilado 38x38 mm.</t>
  </si>
  <si>
    <t>1.4.22</t>
  </si>
  <si>
    <t>1.4.21</t>
  </si>
  <si>
    <t>1.4.20</t>
  </si>
  <si>
    <t>1.4.19</t>
  </si>
  <si>
    <t>1.4.18</t>
  </si>
  <si>
    <t>1.4.17</t>
  </si>
  <si>
    <t>1.4.16</t>
  </si>
  <si>
    <t>1.4.15</t>
  </si>
  <si>
    <t>1.4.14</t>
  </si>
  <si>
    <t>Caixa de ligação ("Condulete"), tipo "LL",  Ø2", com tampa cega.</t>
  </si>
  <si>
    <t>1.4.13</t>
  </si>
  <si>
    <t>Bucha e arruela para eletrodutos rígidos de Ø3/4"</t>
  </si>
  <si>
    <t>Conector tipo macho giratório, Ø 2".</t>
  </si>
  <si>
    <t>Conector tipo fêmea fixa, Ø 2".</t>
  </si>
  <si>
    <t>COT-E-048</t>
  </si>
  <si>
    <t>Cabo multipolar de cobre, classe 0,6/ 1 kV, especial para motores acionados por conversores de freqüência, isolação em composto termofixo tipo EPR, cobertura em composto termoplástico tipo PVC colorido, condutor de proteção concêntrico e disposto de forma helicoidal, malha de blindagem em cobre. Seção nominal 25 mm², condutor concêntrico de 16 mm².</t>
  </si>
  <si>
    <t>COT-E-109</t>
  </si>
  <si>
    <t>Quadro de Luz (EEL-QL), para manobra e proteção dos circuitos de iluminação e tomadas da estação elevatória, conforme especificado.</t>
  </si>
  <si>
    <t>COT-E-027</t>
  </si>
  <si>
    <t>Painel de Controle da Bomba de Drenagem (EEL-PCBD), para proteção e acionamento de duas bombas de drenagem trifásicas de 3 CV / 380 V via partida direta, montado em caixa de sobrepor, conforme diagramas apresentados.</t>
  </si>
  <si>
    <t>COT-E-028</t>
  </si>
  <si>
    <t>Painel de Controle da Estação (EEL-PCE), com controlador lógico programável, interface homem-máquina gráfica, "no-break", comunicação local via rede MODBUS/RS-485 e demais características conforme diagramas apresentados.</t>
  </si>
  <si>
    <t>COT-E-015</t>
  </si>
  <si>
    <t>Centro de Controle de Motores (EEL-CCM), para acionamento via conversor de freqüência de 2 motores de 50 CV, 380 V, em regime de reserva / rodízio (1+1R), com proteção individual dos conversores via fusíveis ultra-rápidos, comunicação em rede serial MODBUS/ RS-485 e demais características conforme diagramas apresentados.</t>
  </si>
  <si>
    <t>COT-E-012</t>
  </si>
  <si>
    <t>Centro de Controle de Motores - Entrada (EEL-CCME), para entrada de cabos e proteção geral dos demais conjuntos CCM, demais características conforme diagramas apresentados.</t>
  </si>
  <si>
    <t>Materiais e equipamentos - Elevatória de Lavagem</t>
  </si>
  <si>
    <t>Fornecimento de Materiais e Equipamentos Elétricos, de Automação e Diversos - Elevatória de lavagem</t>
  </si>
  <si>
    <t>C_268-015</t>
  </si>
  <si>
    <t>9.1.3.2</t>
  </si>
  <si>
    <t>9.1.3.1</t>
  </si>
  <si>
    <t>9.1.3</t>
  </si>
  <si>
    <t>9.1.2</t>
  </si>
  <si>
    <t>73861/017</t>
  </si>
  <si>
    <t>E-024</t>
  </si>
  <si>
    <t>1.2.3.3</t>
  </si>
  <si>
    <t>1.2.3.2</t>
  </si>
  <si>
    <t>1.2.3.1</t>
  </si>
  <si>
    <t>1.2.1.3</t>
  </si>
  <si>
    <t>Tubos em PVC</t>
  </si>
  <si>
    <t>Rede de esgoto sanitário</t>
  </si>
  <si>
    <t>Tubo de PVC</t>
  </si>
  <si>
    <t>1.1.2.6</t>
  </si>
  <si>
    <t>1.1.2.5</t>
  </si>
  <si>
    <t>Aparelhos</t>
  </si>
  <si>
    <t>Rede de Distribuição de Água</t>
  </si>
  <si>
    <t>Instalações Hidráulica Sanitárias</t>
  </si>
  <si>
    <t>Fornecimento de Materiais Hidráulicos e Diversos da Portaria</t>
  </si>
  <si>
    <t>Conector de medição de aterramento, com 4 parafusos, para cabos de até 95 mm²</t>
  </si>
  <si>
    <t>Caixa de inspeção do terra com tampa, Ø250mm</t>
  </si>
  <si>
    <t>Saída lateral para eletroduto de  Ø 1" .</t>
  </si>
  <si>
    <t>Sapata 4 furos externa</t>
  </si>
  <si>
    <t>Perfilado e Afins.</t>
  </si>
  <si>
    <t>Bucha de redução para eletrodutos rígidos de  Ø1" x  Ø3/4".</t>
  </si>
  <si>
    <t>Bucha e arruela para eletrodutos rígidos de Ø 1"</t>
  </si>
  <si>
    <t>COT-E-038</t>
  </si>
  <si>
    <t>Quadro de luz da Portaria (QL-PORT), para proteção e manobra de cargas de iluminação e tomadas, montado em caixa de sobrepor, conforme diagramas apresentados.</t>
  </si>
  <si>
    <t>Materiais e equipamentos - Portaria</t>
  </si>
  <si>
    <t>Fornecimento de Materiais e Equipamentos Elétricos, de Automação e Diversos - Portaria</t>
  </si>
  <si>
    <t>C_268-022</t>
  </si>
  <si>
    <t>1.1.2.1.1</t>
  </si>
  <si>
    <t>E-018</t>
  </si>
  <si>
    <t>E-017</t>
  </si>
  <si>
    <t>COT-E-124</t>
  </si>
  <si>
    <t>Tomada 2P+T 20A padrão NBR para perfilado.</t>
  </si>
  <si>
    <t>Junção reta "I" para perfilado 38x38 mm aço galvanizado.</t>
  </si>
  <si>
    <t xml:space="preserve">Caixa de ligação ("Condulete"), tipo "E",  Ø3/4", com 01 tomada 2P+T 20A. </t>
  </si>
  <si>
    <t xml:space="preserve">Caixa de ligação ("Condulete"), tipo "C",  Ø3/4", com 01 interruptor bipolar simples 15A. </t>
  </si>
  <si>
    <t>Bucha e arruela para eletrodutos rígidos de Ø 2"</t>
  </si>
  <si>
    <t>Bucha e arruela para eletrodutos rígidos de Ø3/4".</t>
  </si>
  <si>
    <t>COT-E-034</t>
  </si>
  <si>
    <t>Quadro de Luz (QDG-QL), montado em caixa de sobrepor, destinado à proteção e manobra dos circuitos de iluminação e tomadas da unidade e fabricado conforme normas e diagramas fornecidos.</t>
  </si>
  <si>
    <t>COT-E-033</t>
  </si>
  <si>
    <t>Quadro de Distribuição Geral 1 (QDG1), montado em armário autoportante, destinado ao recebimento e distribuição geral de energia elétrica, fabricado conforme normas e diagramas fornecidos.</t>
  </si>
  <si>
    <t>Painéis e Quadros Elétricos</t>
  </si>
  <si>
    <t>Materiais e equipamentos - Sala de Painéis</t>
  </si>
  <si>
    <t>Fornecimento de Materiais e Equipamentos Elétricos, de Automação e Diversos - Sala de Painéis</t>
  </si>
  <si>
    <t>C_268-014</t>
  </si>
  <si>
    <t>4.1.1.2</t>
  </si>
  <si>
    <t>C_268-013</t>
  </si>
  <si>
    <t>Fornecimento de Sistema Fossa - Filtro pré fabricado completo construído em plástico reforçado com fibra de vidro com capacidade para 20 pessoas e material para construção de 5(cinco) valas de infiltração.</t>
  </si>
  <si>
    <t>Rede de esgoto Sanitário</t>
  </si>
  <si>
    <t>Registro de gaveta roscável em bronze ∅2" , bronze, rosca NPT.</t>
  </si>
  <si>
    <t>Válvulas e torneiras</t>
  </si>
  <si>
    <t>2.4.7</t>
  </si>
  <si>
    <t>2.4.6</t>
  </si>
  <si>
    <t>2.4.5</t>
  </si>
  <si>
    <t>2.3.5</t>
  </si>
  <si>
    <t>2.3.4</t>
  </si>
  <si>
    <t>Espigão para engate de mangueira ∅2" , PVC</t>
  </si>
  <si>
    <t>00021013</t>
  </si>
  <si>
    <t>Tubulação em Ferro Galvanizado</t>
  </si>
  <si>
    <t xml:space="preserve">Ponto de Água Potável </t>
  </si>
  <si>
    <t>Rede de distribuição de água potável</t>
  </si>
  <si>
    <t>COT-H-454</t>
  </si>
  <si>
    <t>COT-H-455</t>
  </si>
  <si>
    <t>COT-H-456</t>
  </si>
  <si>
    <t>COT-H-457</t>
  </si>
  <si>
    <t>COT-H-458</t>
  </si>
  <si>
    <t>COT-H-459</t>
  </si>
  <si>
    <t>COT-H-460</t>
  </si>
  <si>
    <t>COT-H-495</t>
  </si>
  <si>
    <t>COT-H-496</t>
  </si>
  <si>
    <t>COT-H-461</t>
  </si>
  <si>
    <t>COT-H-462</t>
  </si>
  <si>
    <t>COT-H-463</t>
  </si>
  <si>
    <t>COT-H-484</t>
  </si>
  <si>
    <t>COT-H-464</t>
  </si>
  <si>
    <t>COT-H-488</t>
  </si>
  <si>
    <t>COT-H-489</t>
  </si>
  <si>
    <t>COT-H-465</t>
  </si>
  <si>
    <t>COT-H-467</t>
  </si>
  <si>
    <t>COT-H-424</t>
  </si>
  <si>
    <t>COT-H-375</t>
  </si>
  <si>
    <t>COT-H-490</t>
  </si>
  <si>
    <t>COT-H-468</t>
  </si>
  <si>
    <t>COT-H-145</t>
  </si>
  <si>
    <t>COT-H-396</t>
  </si>
  <si>
    <t>COT-H-397</t>
  </si>
  <si>
    <t>COT-H-351</t>
  </si>
  <si>
    <t>COT-H-352</t>
  </si>
  <si>
    <t>COT-H-471</t>
  </si>
  <si>
    <t>COT-H-472</t>
  </si>
  <si>
    <t>COT-H-473</t>
  </si>
  <si>
    <t>COT-H-444</t>
  </si>
  <si>
    <t>COT-H-432</t>
  </si>
  <si>
    <t>COT-H-164</t>
  </si>
  <si>
    <t>COT-H-170</t>
  </si>
  <si>
    <t>COT-H-470</t>
  </si>
  <si>
    <t>COT-H-491</t>
  </si>
  <si>
    <t>COT-H-453</t>
  </si>
  <si>
    <t>COT-H-197</t>
  </si>
  <si>
    <t>COT-H-378</t>
  </si>
  <si>
    <t>COT-H-199</t>
  </si>
  <si>
    <t>COT-H-379</t>
  </si>
  <si>
    <t>COT-H-380</t>
  </si>
  <si>
    <t>COT-H-429</t>
  </si>
  <si>
    <t>COT-H-382</t>
  </si>
  <si>
    <t>COT-H-384</t>
  </si>
  <si>
    <t>COT-H-394</t>
  </si>
  <si>
    <t>COT-H-149</t>
  </si>
  <si>
    <t>COT-H-398</t>
  </si>
  <si>
    <t>COT-H-399</t>
  </si>
  <si>
    <t>COT-H-400</t>
  </si>
  <si>
    <t>COT-H-401</t>
  </si>
  <si>
    <t>COT-H-402</t>
  </si>
  <si>
    <t>COT-H-498</t>
  </si>
  <si>
    <t>COT-H-182</t>
  </si>
  <si>
    <t>COT-H-440</t>
  </si>
  <si>
    <t>COT-H-441</t>
  </si>
  <si>
    <t>COT-H-493</t>
  </si>
  <si>
    <t>COT-H-404</t>
  </si>
  <si>
    <t>COT-H-474</t>
  </si>
  <si>
    <t>COT-H-475</t>
  </si>
  <si>
    <t>COT-H-476</t>
  </si>
  <si>
    <t>COT-H-477</t>
  </si>
  <si>
    <t>COT-H-478</t>
  </si>
  <si>
    <t>COT-H-194</t>
  </si>
  <si>
    <t>COT-H-422</t>
  </si>
  <si>
    <t>COT-H-423</t>
  </si>
  <si>
    <t>COT-H-309</t>
  </si>
  <si>
    <t>COT-H-312</t>
  </si>
  <si>
    <t>COT-H-479</t>
  </si>
  <si>
    <t>COT-H-480</t>
  </si>
  <si>
    <t>COT-H-228</t>
  </si>
  <si>
    <t>COT-H-451</t>
  </si>
  <si>
    <t>COT-H-230</t>
  </si>
  <si>
    <t>COT-H-231</t>
  </si>
  <si>
    <t>COT-H-407</t>
  </si>
  <si>
    <t>COT-H-408</t>
  </si>
  <si>
    <t>COT-H-409</t>
  </si>
  <si>
    <t>COT-H-494</t>
  </si>
  <si>
    <t>COT-H-410</t>
  </si>
  <si>
    <t>COT-H-411</t>
  </si>
  <si>
    <t>COT-H-144</t>
  </si>
  <si>
    <t>COT-H-412</t>
  </si>
  <si>
    <t>COT-H-310</t>
  </si>
  <si>
    <t>COT-H-298</t>
  </si>
  <si>
    <t>COT-H-364</t>
  </si>
  <si>
    <t>COT-H-414</t>
  </si>
  <si>
    <t>COT-H-447</t>
  </si>
  <si>
    <t>COT-H-421</t>
  </si>
  <si>
    <t>Descrição de Serviços</t>
  </si>
  <si>
    <t>Código da Instituição</t>
  </si>
  <si>
    <t>OBRAS GERAIS</t>
  </si>
  <si>
    <t>POSTE DE ENTRADA</t>
  </si>
  <si>
    <t xml:space="preserve">ESTRUTURA DE CHEGADA </t>
  </si>
  <si>
    <t>RESERVATÓRIO PULMÃO</t>
  </si>
  <si>
    <t xml:space="preserve">  DISTRIBUIÇÃO GERAL</t>
  </si>
  <si>
    <t>DISTRIBUIÇÃO GERAL</t>
  </si>
  <si>
    <t xml:space="preserve">CAIXA DO MEDIDOR DE VAZÃO ELETROMAGNÉTICO </t>
  </si>
  <si>
    <t>CAIXA DO MEDIDOR DE VAZÃO ELETROMAGNÉTICO</t>
  </si>
  <si>
    <t>ESTRUTURA DE CHEGADA</t>
  </si>
  <si>
    <t>PLATAFORMA METÁLICA ENTRE OS FLOCULADORES E A ESTRUTURA DE CHEGADA</t>
  </si>
  <si>
    <t xml:space="preserve">RESERVATÓRIO PULMÃO </t>
  </si>
  <si>
    <t xml:space="preserve">ESTAÇÃO ELEVATÓRIA PARA O RESERVATÓRIO ELEVADO DE ÁGUA PARA PROCESSOS DA ETA </t>
  </si>
  <si>
    <t>ESTAÇÃO ELEVATÓRIA PARA O RESERVATÓRIO ELEVADO DE ÁGUA PARA PROCESSOS DA ETA</t>
  </si>
  <si>
    <t>CASA DE QUÍMICA E BACIAS DE CONTENÇÃO</t>
  </si>
  <si>
    <t>DESINFECÇÃO POR GÁS CLORO</t>
  </si>
  <si>
    <t xml:space="preserve">RESERVATÓRIO ELEVADO DE ÁGUA DE PROCESSOS (50M³) </t>
  </si>
  <si>
    <t>RESERVATÓRIO ELEVADO DE ÁGUA DE PROCESSOS (50M³)</t>
  </si>
  <si>
    <t xml:space="preserve">RECUPERAÇÃO DAS DESCARGAS DA ETA </t>
  </si>
  <si>
    <t>POÇO DE MANOBRA DO TANQUE DE EQUALIZAÇÃO</t>
  </si>
  <si>
    <t>TANQUE DE EQUALIZAÇÃO</t>
  </si>
  <si>
    <t>ESTAÇÃO ELEVATÓRIA DE RECIRCULAÇÃO</t>
  </si>
  <si>
    <t>ESTAÇÃO ELEVATÓRIA DE LODO</t>
  </si>
  <si>
    <t xml:space="preserve">ESTAÇÃO ELEVATÓRIA DE LODO </t>
  </si>
  <si>
    <t>CASA DE DESIDRATAÇÃO DE LODO</t>
  </si>
  <si>
    <t>MEZANINO DA CASA DE DESIDRATAÇÃO DO LODO</t>
  </si>
  <si>
    <t>RECUPERAÇÃO DAS DESCARGAS DA ETA</t>
  </si>
  <si>
    <t xml:space="preserve">INTERLIGAÇÕES </t>
  </si>
  <si>
    <t>INTERLIGAÇÕES</t>
  </si>
  <si>
    <t>BLOCOS DE ANCORAGEM</t>
  </si>
  <si>
    <t>ESTAÇÃO ELEVATÓRIA DE ÁGUA PARA LAVAGEM DOS FILTROS</t>
  </si>
  <si>
    <t>PORTARIA</t>
  </si>
  <si>
    <t>31.2</t>
  </si>
  <si>
    <t>SALA DO QDG</t>
  </si>
  <si>
    <t xml:space="preserve">SALA DO QDG </t>
  </si>
  <si>
    <t>34.1</t>
  </si>
  <si>
    <t>REDE DE ESGOTO SANITÁRIO</t>
  </si>
  <si>
    <t>REDE DE DISTRIBUIÇÃO DE ÁGUA POTÁVEL</t>
  </si>
  <si>
    <t xml:space="preserve">ESTAÇÃO ELEVATÓRIA PARA ÁGUA DE RECIRCULAÇÃO DE EJETORES </t>
  </si>
  <si>
    <t>ESTAÇÃO ELEVATÓRIA PARA ÁGUA DE RECIRCULAÇÃO DOS EJETORES</t>
  </si>
  <si>
    <t>Código do Serviço</t>
  </si>
  <si>
    <t>Pedestal de manobra simples com indicador de abertura, Ø 1.1/8".</t>
  </si>
  <si>
    <t xml:space="preserve">TOTAL - MATERIAIS E EQUIPAMENTOS </t>
  </si>
  <si>
    <t>INSTALAÇÕES ELÉTRICAS (MÓDULO DE TRATAMENTO)</t>
  </si>
  <si>
    <t xml:space="preserve">INSTALAÇÕES ELÉTRICAS (RESERVATÓRIO PULMÃO) </t>
  </si>
  <si>
    <t>CASA DE QUÍMICA (CASA DE QUÍMICA E BACIAS DE CONTENÇÃO)</t>
  </si>
  <si>
    <t>INSTALAÇÕES ELÉTRICAS (CASA DE QUÍMICA E BACIAS DE CONTENÇÃO)</t>
  </si>
  <si>
    <t>CASA DE CLORAÇÃO (DESINFECÇÃO POR GÁS CLORO)</t>
  </si>
  <si>
    <t>INSTALAÇÕES ELÉTRICAS (DESINFECÇÃO POR GÁS CLORO)</t>
  </si>
  <si>
    <t xml:space="preserve">RESERVATÓRIO ELEVADO (RESERVATÓRIO ELEVADO DE ÁGUA DE PROCESSOS 50M³) </t>
  </si>
  <si>
    <t xml:space="preserve">INSTALAÇÕES ELÉTRICAS (RESERVATÓRIO ELEVADO DE ÁGUA DE PROCESSOS 50M³) </t>
  </si>
  <si>
    <t>INSTALAÇÕES ELÉTRICAS - EE DE RECIRCULAÇÃO (ESTAÇÃO ELEVATÓRIA DE RECIRCULAÇÃO)</t>
  </si>
  <si>
    <t xml:space="preserve">INSTALAÇÕES ELÉTRICAS - EE DE LODO (ESTAÇÃO ELEVATÓRIA DE LODO) </t>
  </si>
  <si>
    <t>INSTALAÇÕES ELÉTRICAS - UNIDADE DE DESIDRATAÇÃO MECANIZADA (CASA DE DESIDRATAÇÃO DE LODO)</t>
  </si>
  <si>
    <t>INSTALAÇÕES ELÉTRICAS (ESTAÇÃO ELEVATÓRIA DE ÁGUPARA LAVAGEM DOS FILTROS)</t>
  </si>
  <si>
    <t>INSTALAÇÕES ELÉTRICAS (PORTARIA)</t>
  </si>
  <si>
    <t>INSTALAÇÕES ELÉTRICAS (SALA DO QDG)</t>
  </si>
  <si>
    <t>INSTALAÇÕES ELÉTRICAS (RESERVATÓRIO PULMÃO)</t>
  </si>
  <si>
    <t>RESERVATÓRIO ELEVADO (RESERVATÓRIO ELEVADO DE ÁGUA DE PROCESSOS 50M³)</t>
  </si>
  <si>
    <t>INSTALAÇÕES ELÉTRICAS (RESERVATÓRIO ELEVADO DE ÁGUA DE PROCESSOS 50M³)</t>
  </si>
  <si>
    <t>INSTALAÇÕES ELÉTRICAS EE DE RECIRCULAÇÃO (ESTAÇÃO ELEVATÓRIA DE RECIRCULAÇÃO)</t>
  </si>
  <si>
    <t>INSTALAÇÕES ELÉTRICAS DA EE DO LODO (ESTAÇÃO ELEVATÓRIA DE LODO)</t>
  </si>
  <si>
    <t>INSTALAÇÕES ELÉTRICAS DA UN. DE DESIDRATAÇÃO MECANIZADA DE LODO (DESIDRATAÇÃO DE LODO)</t>
  </si>
  <si>
    <t>INSTALAÇÕES ELÉTRICAS (ESTAÇÃO ELEVATÓRIA DE ÁGUA PARA LAVAGEM DOS FILTROS)</t>
  </si>
  <si>
    <t>SINAPI</t>
  </si>
  <si>
    <t xml:space="preserve">SINAPI (INSUMO) </t>
  </si>
  <si>
    <t>SINAPI (INSUMO)</t>
  </si>
  <si>
    <t>2,04</t>
  </si>
  <si>
    <t>00021005</t>
  </si>
  <si>
    <t>3258,948</t>
  </si>
  <si>
    <t>Valor acumulado atual  (R$)</t>
  </si>
  <si>
    <t>a</t>
  </si>
  <si>
    <t>CONSTRUÇÃO DO CANTEIRO</t>
  </si>
  <si>
    <t>SANITÁRIO C/ VASO / CHUVEIRO PARA PESSOAL DE OBRA.</t>
  </si>
  <si>
    <t>GALPÃO P/ OFICINA / DEPÓSITO CANTEIRO DE OBRA</t>
  </si>
  <si>
    <t>BARRACÕES DE OBRA</t>
  </si>
  <si>
    <t>PLACA DE OBRA</t>
  </si>
  <si>
    <t>AQUISIÇÃO E ASSENTAMENTO DE PLACA DE OBRA.</t>
  </si>
  <si>
    <t>ADMINISTRAÇÃO LOCAL</t>
  </si>
  <si>
    <t>ADMINISTRAÇÃO LOCAL DA OBRA</t>
  </si>
  <si>
    <t>SERVIÇOS TÉCNICOS</t>
  </si>
  <si>
    <t>LOCAÇÃO</t>
  </si>
  <si>
    <t>LEVANTAMENTO CADASTRAL</t>
  </si>
  <si>
    <t>CADASTRO DE OBRAS LOCALIZADAS.</t>
  </si>
  <si>
    <t>SERVIÇOS PRELIMINARES</t>
  </si>
  <si>
    <t>PREPARO DO TERRENO</t>
  </si>
  <si>
    <t>LIMPEZA DE TERRENO - ROÇADA</t>
  </si>
  <si>
    <t>MOVIMENTO DE TERRA</t>
  </si>
  <si>
    <t>CORTE / ESCAVAÇÃO EM JAZIDAS OU CAMPO ABERTO</t>
  </si>
  <si>
    <t>ESCAVAÇÃO E CARGA DE MATERIAL DE 1ª CATEGORIA</t>
  </si>
  <si>
    <t>ESCAVAÇÃO DE VALAS</t>
  </si>
  <si>
    <t>ESCAVAÇÃO MECÂNICA DE CAVAS</t>
  </si>
  <si>
    <t>ESCAVAÇÃO MECÂNICA DE VALAS</t>
  </si>
  <si>
    <t>ATERRO / REATERRO DE VALAS COM OU S/ COMPACTAÇÃO</t>
  </si>
  <si>
    <t>REATERRO DE VALAS</t>
  </si>
  <si>
    <t>CARGA, DESCARGA E/OU TRANSPORTE DE MATERIAIS</t>
  </si>
  <si>
    <t>DRENAGEM / POÇOS DE VISITA E CAIXAS</t>
  </si>
  <si>
    <t>ESGOTAMENTO COM BOMBA</t>
  </si>
  <si>
    <t>ESGOTAMENTO COM BOMBAS</t>
  </si>
  <si>
    <t>REBAIXAMENTO DO LENÇOL FREÁTICO</t>
  </si>
  <si>
    <t>MEIA CANA DE CONCRETO</t>
  </si>
  <si>
    <t>MEIO FIO, LINHA D'ÁGUA E SARJETA</t>
  </si>
  <si>
    <t>MEIO-FIO</t>
  </si>
  <si>
    <t>FUNDAÇÕES E ESTRUTURAS</t>
  </si>
  <si>
    <t>LASTROS / FUNDAÇÕES DIRETAS</t>
  </si>
  <si>
    <t>LASTRO DE PEDRA BRITADA E FUNDAÇÕES EM BALDRAME.</t>
  </si>
  <si>
    <t>PAVIMENTAÇÃO COM PEDRISCO S/COMPACTAÇÃO E=5,0CM.</t>
  </si>
  <si>
    <t>FORMAS / CIMBRAMENTOS / ESCORAMENTOS</t>
  </si>
  <si>
    <t>ARMADURAS</t>
  </si>
  <si>
    <t>ARMAÇÃO EM AÇO CA-50 PARA ESTRUTURAS DE CONCRETO.</t>
  </si>
  <si>
    <t>CONCRETOS</t>
  </si>
  <si>
    <t>CONCRETO BOMBEADO</t>
  </si>
  <si>
    <t>CONCRETOS - INCLUI FORNECIMENTO, LANÇAMENTO NAS FORMAS, ADENSAMENTO, DESEMPENO E PREPARO DAS JUNTAS DE CONCRETAGEM.</t>
  </si>
  <si>
    <t>PAVIMENTAÇÃO</t>
  </si>
  <si>
    <t>EXECUÇÃO DE PAVIMENTAÇÕES DIVERSAS</t>
  </si>
  <si>
    <t>PAVIMENTAÇÃO DE LAJOTAS DE CONCRETO INTERTRAVADAS</t>
  </si>
  <si>
    <t>PAREDES / PAINÉIS</t>
  </si>
  <si>
    <t>ALVENARIA DE BLOCOS DE CONCRETO</t>
  </si>
  <si>
    <t>ALVENARIA DE BLOCO DE CONCRETO</t>
  </si>
  <si>
    <t>ESQUADRIAS / FERRAGENS / VIDROS</t>
  </si>
  <si>
    <t>PORTÕES DE MADEIRA / FERRO / ALUMÍNIO</t>
  </si>
  <si>
    <t>FABRICAÇÃO E INSTALAÇÃO DE PORTÃO PARA ENTRADA DE VEÍCULOS - MMA</t>
  </si>
  <si>
    <t>IMPERMEABILIZAÇÕES E PROTEÇÕES DIVERSAS</t>
  </si>
  <si>
    <t>IMPERMEABILIZAÇÃO COM CIMENTO CRISTALIZADO</t>
  </si>
  <si>
    <t>CIMENTO ESPECIAL CRISTALIZANTE DENVERLIT C/ EMULSÃO ADESIVA DENVERFIX - DENVER - 1 DEMÃO P/ SUBSOLO / BALDRAMES / GALERIAS / JARDINEIRAS / ETC.</t>
  </si>
  <si>
    <t>PISOS</t>
  </si>
  <si>
    <t>PISO DE CONCRETO</t>
  </si>
  <si>
    <t>CALÇADA EM CONCRETO</t>
  </si>
  <si>
    <t>URBANIZAÇÃO</t>
  </si>
  <si>
    <t>ALAMBRADO</t>
  </si>
  <si>
    <t>GRAMA, INCLUSIVE PREPARO DO SOLO</t>
  </si>
  <si>
    <t>PLANTIO DE GRAMA.</t>
  </si>
  <si>
    <t>MONTAGEM DE MATERIAIS E EQUIPAMENTOS ELÉTRICOS, DE AUTOMAÇÃO E DIVERSOS - DISTRIBUIÇÃO GERAL</t>
  </si>
  <si>
    <t>IMPLANTAÇÃO DA REDE DE DISTRIBUIÇÃO SUBTERRÂNEA DE ENERGIA, COM EXCAVAÇÃO DO SOLO, LANÇAMENTO DE ELETRODUTOS, CONCRETAGEM E POSTERIOR PASSAGEM DE CABOS, CONFORME COMPOSIÇÃO EM ANEXO.</t>
  </si>
  <si>
    <t>IMPLANTAÇÃO DA REDE DE ATERRAMENTO GERAL.</t>
  </si>
  <si>
    <t>CONSTRUÇÃO DA CAIXA DE ALVENARIA, DIMENSÕES INTERNAS DE 400X400X600 MM, CONFORME COMPOSIÇÃO EM ANEXO.</t>
  </si>
  <si>
    <t>CONSTRUÇÃO DA CAIXA DE ALVENARIA, DIMENSÕES INTERNAS DE 600X600X800 MM, CONFORME COMPOSIÇÃO EM ANEXO.</t>
  </si>
  <si>
    <t>CONSTRUÇÃO DA CAIXA DE ALVENARIA, DIMENSÕES INTERNAS DE 800X800X1000 MM, CONFORME COMPOSIÇÃO EM ANEXO.</t>
  </si>
  <si>
    <t>CONSTRUÇÃO DA CAIXA DE ALVENARIA, DIMENSÕES INTERNAS DE 1000X1000X1200 MM, CONFORME COMPOSIÇÃO EM ANEXO.</t>
  </si>
  <si>
    <t>FIOS E CABOS</t>
  </si>
  <si>
    <t>ELETRODUTOS E AFINS</t>
  </si>
  <si>
    <t>ILUMINAÇÃO EXTERNA</t>
  </si>
  <si>
    <t>ATERRAMENTO GERAL</t>
  </si>
  <si>
    <t>MONTAGEM DE MATERIAIS E EQUIPAMENTOS ELÉTRICOS, DE AUTOMAÇÃO E DIVERSOS - POSTE DE ENTRADA</t>
  </si>
  <si>
    <t>ASSENTAMENTO DO POSTE DE ENTRADA DE ENERGIA, COM CONSTRUÇÃO DE SAPATA DE CONCRETO, CONFORME COMPOSIÇÃO EM ANEXO.</t>
  </si>
  <si>
    <t>MONTAGEM DE MATERIAIS E QUIPAMENTOS ELÉTRICOS DE MÉDIA E BAIXA TENSÃO, CONFORME COMPOSIÇÃO EM ANEXO.</t>
  </si>
  <si>
    <t>EQUIPAMENTOS DE MÉDIA TENSÃO</t>
  </si>
  <si>
    <t>MATERIAIS ELÉTRICOS DE BAIXA TENSÃO</t>
  </si>
  <si>
    <t>ATERRAMENTO</t>
  </si>
  <si>
    <t>COMPACTAÇÃO OU APILOAMENTO</t>
  </si>
  <si>
    <t>DRENAGEM/OBRAS DE CONTENCAO/POCOS DE VISITA E CAIXAS</t>
  </si>
  <si>
    <t>DRENO</t>
  </si>
  <si>
    <t>PAREDES E PAINÉIS</t>
  </si>
  <si>
    <t>ALVENARIA DE TIJOLOS CERÂMICOS</t>
  </si>
  <si>
    <t>IMPERMEABILIZAÇÃO BETUMINOSA C/EMULSÃO ASFÁLTICA E ACRÍLICA.</t>
  </si>
  <si>
    <t>IMPERMEABEALIZAÇÃO DE FUNDAÇÕES/ BALDRAMES/ MUROS DE ARRIMO/ALICERCES E REVEST.EM CONTATO C/SOLO - UTILIZ. TINTA BETUMINOSA TIPO NEUTROLIN / DUAS DEMÃOS.</t>
  </si>
  <si>
    <t>PINTURAS</t>
  </si>
  <si>
    <t>PINTURA DE PAREDE</t>
  </si>
  <si>
    <t>MONTAGEM DE MATERIAIS E EQUIPAMENTOS HIDRÁULICOS, HIDROMECÂNICOS E DIVERSOS</t>
  </si>
  <si>
    <t>MONTAGEM HIDRÁULICA E HIDROMECÂNICA DE EQUIPAMENTOS, VÁLVULAS, TUBOS, PEÇAS E ACESSÓRIOS DA LISTA DE MATERIAL DA ESTRUTURA DE ENTRADA.</t>
  </si>
  <si>
    <t>ATERRO / REATERRO DE VALAS COM OU S/ COMPACTAÇÃO.</t>
  </si>
  <si>
    <t>ESTACAS</t>
  </si>
  <si>
    <t>PINTURA EM CONCRETO APARENTE</t>
  </si>
  <si>
    <t>FORMAS/CIMBRAMENTOS/ESCORAMENTOS</t>
  </si>
  <si>
    <t>ALVENARIA BLOCO CONCRETO</t>
  </si>
  <si>
    <t>PINTURA PARA METAL</t>
  </si>
  <si>
    <t>PRIMER EPÓXI</t>
  </si>
  <si>
    <t>PINTURA ESMALTE</t>
  </si>
  <si>
    <t>PINTURA LÁTEX ACRÍLICA EXTERNA/INTERNA S/SELADOR</t>
  </si>
  <si>
    <t>MÃO DE OBRA EMPREGADA</t>
  </si>
  <si>
    <t>FORMA PARA FUNDAÇÃO E BALDRAME</t>
  </si>
  <si>
    <t>ASSENTAMENTO DE TUBOS E PEÇAS</t>
  </si>
  <si>
    <t>FORNECIMENTO E/OU ASSENTAMENTO DE TUBO DE PVC COM JUNTA ELÁSTICA.</t>
  </si>
  <si>
    <t>ASSENTAMENTO TUBO PVC, RPVC, PVC DEFOFO, PRFV P/ ÁGUA COM JE.</t>
  </si>
  <si>
    <t>COBERTURA</t>
  </si>
  <si>
    <t>TELHAMENTO COM TELHA DE FIBROCIMENTO</t>
  </si>
  <si>
    <t>PORTA E/OU TAMPA DE ALUMÍNIO</t>
  </si>
  <si>
    <t>PORTA DE ALUMÍNIO DE ABRIR</t>
  </si>
  <si>
    <t>IMPERMEABILIZAÇÃO COM MANTA</t>
  </si>
  <si>
    <t>IMPERMEABILIZAÇÃO DE TERRAÇOS E LAJES</t>
  </si>
  <si>
    <t>IMPERMEABILIZAÇÃO BETUMINOSA C/ EMULSÃO ASFÁLTICA E ACRÍLICA.</t>
  </si>
  <si>
    <t>IMPERMEABILIZAÇÃO DE FUNDAÇÕES / BALDRAMES / MUROS DE ARRIMO / ALICERCES / REVESTIMENTOS EM CONTATO C/ SOLO - UTILIZAÇÃO DE TINTA BETUMINOSA TIPO NEUTROLIN / DUAS DEMÃOS.</t>
  </si>
  <si>
    <t>INSTALAÇÕES DE PRODUÇÃO</t>
  </si>
  <si>
    <t>FORNECIMENTO DE MATERIAIS PARA LEITO FILTRANTE</t>
  </si>
  <si>
    <t>MATERIAL FILTRANTE (PEDREGULHO) 2,4 A 0,6MM- POSTO JAZIDA / FORNECEDOR (SEM FRETE).</t>
  </si>
  <si>
    <t>MATERIAL FILTRANTE (PEDREGULHO) 4,8 A 2,4MM- POSTO JAZIDA / FORNECEDOR (SEM FRETE).</t>
  </si>
  <si>
    <t>MATERIAL FILTRANTE (PEDREGULHO) 9,6 A 4,8MM- POSTO JAZIDA / FORNECEDOR (SEM FRETE).</t>
  </si>
  <si>
    <t>MATERIAL FILTRANTE (PEDREGULHO) 15,4 A 9,6MM- POSTO JAZIDA / FORNECEDOR (SEM FRETE).</t>
  </si>
  <si>
    <t>MATERIAL FILTRANTE (PEDREGULHO) 25,4 A 15,4MM - POSTO JAZIDA / FORNECEDOR (SEM FRETE).</t>
  </si>
  <si>
    <t>BLOCOS DRENANTES UNIVERSAIS PARA FUNDO DE FILTRO EM PEAD, FORNECIMENTO E INSTALAÇÃO, CONFORME ESPECIFICAÇÃO TÉCNICA, ÁREA DE COBERTURA EM PLANTA =  73,50M².</t>
  </si>
  <si>
    <t>MONTAGENS EM GERAL</t>
  </si>
  <si>
    <t>LEITO FILTRANTE</t>
  </si>
  <si>
    <t>MOVIMENTO DE TERRA PARA INSTALAÇÕES DE PRODUÇÃO</t>
  </si>
  <si>
    <t>MONTAGEM HIDRÁULICA E HIDROMECÂNICA DE TUBOS, PEÇAS, ACESSÓRIOS E EQUIPAMENTOS DA LISTA DE MATERIAL DOS FLOCULADORES - 1ª ETAPA.</t>
  </si>
  <si>
    <t>MONTAGEM HIDRÁULICA E HIDROMECÂNICA DE TUBOS, PEÇAS, ACESSÓRIOS E EQUIPAMENTOS DA LISTA DE MATERIAL DOS DECANTADORES - 1ª ETAPA.</t>
  </si>
  <si>
    <t>SERVIÇO DE SUPERVISÃO, MONTAGEM E INSTALAÇÃO DOS MÓDULOS TUBULARES.</t>
  </si>
  <si>
    <t>MONTAGEM HIDRÁULICA E HIDROMECÂNICA DE TUBOS, PEÇAS, ACESSÓRIOS E EQUIPAMENTOS DA LISTA DE MATERIAL DOS FILTROS - 1ª ETAPA.</t>
  </si>
  <si>
    <t>MONTAGEM DE MATERIAIS E EQUIPAMENTOS ELÉTRICOS, DE AUTOMAÇÃO E DIVERSOS - MÓDULO DE TRATAMENTO</t>
  </si>
  <si>
    <t>MONTAGEM ELÉTRICA - MÓDULO DE TRATAMENTO</t>
  </si>
  <si>
    <t>MONTAGEM DE MATERIAIS ELÉTRICOS DE  BAIXA TENSÃO, CONFORME COMPOSIÇÃO EM ANEXO.</t>
  </si>
  <si>
    <t>INSTALAÇÃO E COMISSIONAMENTO DE PAINÉIS E QUADROS, CONFORME COMPOSIÇÃO EM ANEXO.</t>
  </si>
  <si>
    <t>ILUMINAÇÃO</t>
  </si>
  <si>
    <t>ACESSO/PASSADIÇOS</t>
  </si>
  <si>
    <t>PASSADIÇOS E TRAVESSIAS - MONTAGEM, MANUTENÇÃO E  REMOÇÃO.</t>
  </si>
  <si>
    <t>MOVIMENTO DE TERRA  PARA TUBULAÇÃO DE DESCARGA</t>
  </si>
  <si>
    <t>FORNECIMENTO DE MATERIAL C/ OU S/ CARGA, DESCARGA E TRANSPORTE.</t>
  </si>
  <si>
    <t>ESCORAMENTO</t>
  </si>
  <si>
    <t>ESCORAMENTO DE MADEIRA EM VALAS</t>
  </si>
  <si>
    <t>FORNECIMENTO E/OU ASSENTAMENTO DE TUBO DE FERRO FUNDIDO COM JUNTA ELÁSTICA.</t>
  </si>
  <si>
    <t>ASSENTAMENTO DE TUBO DE FERRO FUNDIDO COM JUNTA ELÁSTICA.</t>
  </si>
  <si>
    <t>MONTAGEM HIDRÁULICA E HIDROMECÂNICA DE TUBOS, PEÇAS, ACESSÓRIOS E EQUIPAMENTOS DA LISTA DE MATERIAL DO RESERVATÓRIO - 1ª ETAPA.</t>
  </si>
  <si>
    <t>MONTAGEM DE MATERIAIS E EQUIPAMENTOS ELÉTRICOS, DE AUTOMAÇÃO E DIVERSOS - RES. PULMÃO</t>
  </si>
  <si>
    <t>MONTAGEM ELÉTRICA - RES. PULMÃO</t>
  </si>
  <si>
    <t>INSTALAÇÃO DE PAINÉIS DA ELEVATÓRIA, CONFORME COMPOSIÇÃO EM ANEXO.</t>
  </si>
  <si>
    <t>PROGRAMAÇÃO DO CLP, DA ELEVATÓRIA, COM ELABORAÇÃO DE TELAS DE PROCESSO, ELABORAÇÃO DE FLUXOGRAMA, ESPECIFICAÇÕES, MANUAIS POSTA EM MARCHA, TREINAMENTO, ETC.</t>
  </si>
  <si>
    <t>INSTALAÇÃO E COMISSIONAMENTO DE INSTRUMENTOS, CONFORME COMPOSIÇÃO EM ANEXO.</t>
  </si>
  <si>
    <t>ELETRODUTO E AFINS</t>
  </si>
  <si>
    <t>CAIXA DE LIGAÇÃO ("CONDULETE"), TIPO "LL", Ø1", COM TAMPA CEGA.</t>
  </si>
  <si>
    <t>CAIXA DE LIGAÇÃO ("CONDULETE"), TIPO "T", Ø1", COM TAMPA CEGA.</t>
  </si>
  <si>
    <t>MONTAGEM HIDRÁULICA E HIDROMECÂNICA DE EQUIPAMENTOS, VÁLVULAS, TUBOS, PEÇAS E ACESSÓRIOS DA LISTA DE MATERIAIS DA ESTAÇÃO ELEVATÓRIA DE LODO.</t>
  </si>
  <si>
    <t>ARMAÇÃO EM TELA SOLDADA</t>
  </si>
  <si>
    <t>CONCRETOS - INCLUI FORNECIMENTO, LANÇAMENTO NAS FORMAS, ADENSAMENTO, DESEMPENO E PREPARO DAS JUNTAS DE CONCRETAGEM</t>
  </si>
  <si>
    <t>LAJE PRÉ-FABRICADA</t>
  </si>
  <si>
    <t>LAJE PRÉ-MOLDADA</t>
  </si>
  <si>
    <t>LAJE PRÉ-MOLDADA P/ PISO, SOBRECARGA 350 KG/M², VÃOS ATÉ 3,50M / E = 8CM, C/ LAJOTAS E CAP. C/ CONC FCK = 20MPA, 4 CM, INTER-EIXO 38CM, C/ ESCORAMENTO (REAPR. 3X) E FERRAGEM NEGATIVA.</t>
  </si>
  <si>
    <t>ALVENARIA DE BLOCO DE CONCRETO.</t>
  </si>
  <si>
    <t>ALVENARIA DE ELEMENTOS VAZADOS DE CONCRETO</t>
  </si>
  <si>
    <t>ALVENARIA DE ELEMENTO VAZADO DE CONRETO (COBOGÓ).</t>
  </si>
  <si>
    <t>RUFO METÁLICO</t>
  </si>
  <si>
    <t>RUFO EM CHAPA DE ACO GALVANIZADO NUMERO 24, DESENVOLVIMENTO DE  16 CM</t>
  </si>
  <si>
    <t>CALHA METÁLICA</t>
  </si>
  <si>
    <t>CALHA DE PVC, PEÇAS E ACESSÓRIOS</t>
  </si>
  <si>
    <t>FUNIL DE FERRO GALVANIZADO PARA ÁGUAS PLUVIAIS</t>
  </si>
  <si>
    <t>PORTA DE MADEIRA</t>
  </si>
  <si>
    <t>PORTA DE MADEIRA COMPENSADA LISA</t>
  </si>
  <si>
    <t>JANELA DE ALUMÍNIO</t>
  </si>
  <si>
    <t>JANELA DE ALUMÍNIO, TIPO CORRER OU MAXIMAR, CONVENCIONAL, INCLUSIVE ASSENTAMENTO.</t>
  </si>
  <si>
    <t>JANELA DE ALUMÍNIO, DE CORRER</t>
  </si>
  <si>
    <t>REVESTIMENTO E TRATAMENTO DE SUPERFÍCIES</t>
  </si>
  <si>
    <t>EMBOÇO</t>
  </si>
  <si>
    <t>REBOCO</t>
  </si>
  <si>
    <t>AZULEJO</t>
  </si>
  <si>
    <t>AZULEJO BRANCO</t>
  </si>
  <si>
    <t>ARGAMASSAS</t>
  </si>
  <si>
    <t>CHAPISCO</t>
  </si>
  <si>
    <t>PISO EM LAJOTA</t>
  </si>
  <si>
    <t>IMPERMEABILIZAÇÃO BETUMINOSA C/EMULSÃO ASFÁLTICA E ACRÍLICA</t>
  </si>
  <si>
    <t>PROTEÇÃO DE SUPERFÍCIE COM ARGAMASSA</t>
  </si>
  <si>
    <t>PINTURA LÁTEX ACRÍLICA EXTERNA / INTERNA S/ SELADOR</t>
  </si>
  <si>
    <t>INSTALAÇÕES HIDRÁULICO-SANITÁRIAS</t>
  </si>
  <si>
    <t>APARELHOS SANITÁRIOS, LOUÇAS, METAIS E OUTROS</t>
  </si>
  <si>
    <t>PIA DE COZINHA</t>
  </si>
  <si>
    <t>MONTAGENS</t>
  </si>
  <si>
    <t>MONTAGEM HIDRÁULICA E HIDROMECÂNICA DE EQUIPAMENTOS, VÁLVULAS, TUBOS, PEÇAS E ACESSÓRIOS DA LISTA DE MATERIAL DA CASA DE QUÍMICA.</t>
  </si>
  <si>
    <t>MONTAGEM DAS INSTALAÇÕES HIDRÁULICO SANITÁRIAS DA LISTA DE MATERIAL DA CASA DE QUÍMICA.</t>
  </si>
  <si>
    <t>MONTAGEM DE MATERIAIS E EQUIPAMENTOS ELÉTRICOS, DE AUTOMAÇÃO E DIVERSOS - CASA DE QUÍMICA</t>
  </si>
  <si>
    <t>MONTAGEM ELÉTRICA - CASA DE QUÍMICA</t>
  </si>
  <si>
    <t>MONTAGEM DE MATERIAS E EQUIPAMENTOS ELÉTRICOS</t>
  </si>
  <si>
    <t>INSTALAÇÃO E COMISSIONAMENTO DE INSTRUMENTOS</t>
  </si>
  <si>
    <t>MONTAGEM DO QUADRO DE FORÇA DAS BOMBAS DOSADORAS (QF-DOS)</t>
  </si>
  <si>
    <t>CAIXA DE LIGAÇÃO ("CONDULETE"), TIPO "T", Ø3/4", COM TAMPA CEGA.</t>
  </si>
  <si>
    <t>CAIXA DE LIGAÇÃO ("CONDULETE"), TIPO "LL", Ø3/4", COM TAMPA CEGA.</t>
  </si>
  <si>
    <t>CAIXA DE LIGAÇÃO ("CONDULETE"), TIPO "E", Ø3/4", COM TAMPA CEGA.</t>
  </si>
  <si>
    <t>CAIXA DE LIGAÇÃO ("CONDULETE"), TIPO "TB", Ø3/4", COM TAMPA CEGA.</t>
  </si>
  <si>
    <t>ATERRAMENTO E SPDA</t>
  </si>
  <si>
    <t>ENVOLTÓRIA DE AREIA PARA TUBO - INTERLIGAÇÕES</t>
  </si>
  <si>
    <t>ESTACA ESCAVADA</t>
  </si>
  <si>
    <t>ALVENARIA DE BLOCOS DE VIDRO</t>
  </si>
  <si>
    <t>IMPERMEABILIZAÇÃO COM ARGAMASSA</t>
  </si>
  <si>
    <t xml:space="preserve">TRANSITO E SEGURANÇA </t>
  </si>
  <si>
    <t>TAPUME DE VEDACAO - INTERLIGAÇÃO</t>
  </si>
  <si>
    <t>ACESSOS/PASSADICOS - INTERLIGAÇÃO</t>
  </si>
  <si>
    <t>PASSADIÇOS E TRAVESSIAS - MONTAGEM, MANUTENCAO E REMOÇÃO</t>
  </si>
  <si>
    <t xml:space="preserve">ESCORAMENTO </t>
  </si>
  <si>
    <t>MONTAGEM DE MATERIAIS E EQUIPAMENTOS ELÉTRICOS, DE AUTOMAÇÃO E DIVERSOS - CASA DE CLORAÇÃO</t>
  </si>
  <si>
    <t>MONTAGEM ELÉTRICA - CASA DE CLORAÇÃO</t>
  </si>
  <si>
    <t xml:space="preserve">ESTACAS </t>
  </si>
  <si>
    <t>MONTAGEM HIDRÁULICA E HIDROMECÂNICA DE EQUIPAMENTOS, VÁLVULAS, TUBOS, PEÇAS E ACESSÓRIOS DA LISTA DE MATERIAL DO RESERVATÓRIO ELEVADO.</t>
  </si>
  <si>
    <t>MONTAGEM DE MATERIAIS E EQUIPAMENTOS ELÉTRICOS, DE AUTOMAÇÃO E DIVERSOS - RES. ELEVADO DE PROCESSOS</t>
  </si>
  <si>
    <t>MONTAGEM ELÉTRICA - RES. PROCESSOS</t>
  </si>
  <si>
    <t xml:space="preserve">CAIXA DE LIGAÇÃO ("CONDULETE"), TIPO "C",  Ø 3/4", COM TAMPA CEGA. </t>
  </si>
  <si>
    <t xml:space="preserve">CAIXA DE LIGAÇÃO ("CONDULETE"), TIPO "C",  Ø 1", COM TAMPA CEGA. </t>
  </si>
  <si>
    <t>ESCAVAÇÃO MANUAL DE VALAS</t>
  </si>
  <si>
    <t>FORMA PARA VIGA, PILAR E PAREDE</t>
  </si>
  <si>
    <t>ARMAÇÃO EM AÇO CA-60 PARA ESTRUTURAS DE CONCRETO.</t>
  </si>
  <si>
    <t>APLICAÇÃO DE CONCRETO PROJETADO</t>
  </si>
  <si>
    <t>IMPERMEABILIZAÇÕES  E  PROTEÇÕES  DIVERSAS</t>
  </si>
  <si>
    <t>ESCAVAÇÃO MANUAL DE CAVAS</t>
  </si>
  <si>
    <t>ESCAVAÇÃO MANUAL DE CAVA EM MATERIAL DE 1ª CATEGORIA, DE 6M ATÉ 7,5M, EXCLUI ESGOTAMENTO, ESCORAMENTO, IMPOSSIBILITANDO ENTRADA DE CAMINHÃO OU EQUIPAMENTO MOTORIZADO P/ RETIRADA DO MATERIAL.</t>
  </si>
  <si>
    <t>ESCAVAÇÃO MANUAL DE CAVA EM MATERIAL DE 1ª CATEGORIA, DE 7,5M ATÉ 9M, EXCLUI ESGOTAMENTO, ESCORAMENTO, IMPOSSIBILITANDO ENTRADA DE CAMINHÃO OU EQUIPAMENTO MOTORIZADO P/ RETIRADA DO MATERIAL.</t>
  </si>
  <si>
    <t>ESCAVAÇÃO MANUAL DE CAVA EM MATERIAL DE 1ª CATEGORIA, DE 9,0 M ATÉ 10,5M, EXCLUI ESGOTAMENTO, ESCORAMENTO, IMPOSSIBILITANDO ENTRADA DE CAMINHÃO OU EQUIPAMENTO MOTORIZADO P/ RETIRADA DO MATERIAL.</t>
  </si>
  <si>
    <t>ESCAVAÇÃO MANUAL DE CAVA EM MATERIAL DE 1ª CATEGORIA, DE 10,5 M ATÉ 12,0 M, EXCLUI ESGOTAMENTO, ESCORAMENTO, IMPOSSIBILITANDO ENTRADA DE CAMINHÃO OU EQUIPAMENTO MOTORIZADO P/ RETIRADA DO MATERIAL.</t>
  </si>
  <si>
    <t>ESCAVAÇÃO MANUAL DE CAVA EM MATERIAL DE 1ª CATEGORIA, DE 12,0 M ATÉ 13,5 M, EXCLUI ESGOTAMENTO, ESCORAMENTO, IMPOSSIBILITANDO ENTRADA DE CAMINHÃO OU EQUIPAMENTO MOTORIZADO P/ RETIRADA DO MATERIAL.</t>
  </si>
  <si>
    <t>CARGA,  DESCARGA E/ OU  TRANSPORTE  DE  MATERIAIS</t>
  </si>
  <si>
    <t>DRENAGEM</t>
  </si>
  <si>
    <t xml:space="preserve">REBAIXAMENTO  DO LENÇOL FREÁTICO ATRAVÉS DE POÇOS PROFUNDOS OU PONTEIRAS FILTRANTES. </t>
  </si>
  <si>
    <t>REVESTIMENTO E TRATAMENTO DE SUPERFÍCIE/ IMPERMEABILIZAÇÕES</t>
  </si>
  <si>
    <t>CIMENTO ESPECIAL CRISTALIZANTE DENVERLIT C/ EMULSÃO ADESIVA DENVERFIX - DENVER - 1 DEMÃO P/ SUB SOLO / BALDRAMES / GALERIAS / JARDINEIRAS / ETC.</t>
  </si>
  <si>
    <t>MONTAGEM DE MATERIAIS E EQUIPAMENTOS HIDRÁULICOS, HIDROMECÂNICOS E DIVERSOS DO TANQUE DE EQUALIZAÇÃO, DA ESTRUTURA DE CHEGADA E DA ESTAÇÃO ELEVATÓRIA DE RETORNO.</t>
  </si>
  <si>
    <t>ALVENARIA DE BLOCOS DE CONCRETO ESTRUTURAL TIPO CANALETA 9 X 19 X 19CM, ASSENTADOS COM ARGAMASSA TRAÇO 1:0,25:4 (CIMENTO, CAL E AREIA).</t>
  </si>
  <si>
    <t>MADEIRAMENTO</t>
  </si>
  <si>
    <t>PASTILHAS, CERÂMICAS, PLACAS PRÉ-MOLDADAS E OUTROS.</t>
  </si>
  <si>
    <t>MONTAGEM HIDRÁULICA E HIDROMECÂNICA DE EQUIPAMENTOS, VÁLVULAS, TUBOS, PEÇAS E ACESSÓRIOS DA LISTA DE MATERIAIS DA ESTAÇÃO ELEVATÓRIA DE RECIRCULAÇÃO.</t>
  </si>
  <si>
    <t>MONTAGEM DE MATERIAIS E EQUIPAMENTOS ELÉTRICOS, DE AUTOMAÇÃO E DIVERSOS - EE DE RETORNO</t>
  </si>
  <si>
    <t>MONTAGEM ELÉTRICA - EE DE RETORNO</t>
  </si>
  <si>
    <t>INSTALAÇÃO DOS NOVOS MATERIAIS E EQUIPAMENTOS DE BAIXA TENSÃO.</t>
  </si>
  <si>
    <t>INSTALAÇÃO DE PAINÉIS E QUADROS</t>
  </si>
  <si>
    <t>SERVIÇOS DE PROGRAMAÇÃO DE CLP.</t>
  </si>
  <si>
    <t>ESCAVAÇÃO MANUAL DE VALA EM MAT. DE 1ªCAT (AREIA/ ARGILA/ PIÇARRA) ENTRE 4,50 E 6,0M.</t>
  </si>
  <si>
    <t>MONTAGEM DE MATERIAIS E EQUIPAMENTOS ELÉTRICOS, DE AUTOMAÇÃO E DIVERSOS - EE DE DESC. LODO</t>
  </si>
  <si>
    <t>MONTAGEM ELÉTRICA - EE DE DESC. LODO</t>
  </si>
  <si>
    <t>INSTALAÇÃO GERAL DE MATERIAIS E EQUIPAMENTOS ELÉTRICOS, CONFORME COMPOSIÇÃO EM ANEXO.</t>
  </si>
  <si>
    <t>ESCAVAÇÃO DE CAVAS</t>
  </si>
  <si>
    <t>ESTACA PRÉ-MOLDADA</t>
  </si>
  <si>
    <t>ALVENARIA DE ELEMENTO VAZADO DE CONCRETO (COBOGÓ).</t>
  </si>
  <si>
    <t>TELHAMENTO COM TELHA METÁLICA</t>
  </si>
  <si>
    <t>TELHA METÁLICA</t>
  </si>
  <si>
    <t>MONTAGEM HIDRÁULICA E HIDROMECÂNICA DE EQUIPAMENTOS, VÁLVULAS, TUBOS, PEÇAS E ACESSÓRIOS DA LISTA DE MATERIAL DA UNIDADE DE DESIDRATAÇÃO DE LODO.</t>
  </si>
  <si>
    <t>CORTE/ESCAVACAO EM JAZIDAS OU CAMPO ABERTO</t>
  </si>
  <si>
    <t>MONTAGEM DE MATERIAIS E EQUIPAMENTOS ELÉTRICOS, DE AUTOMAÇÃO E DIVERSOS - DESIDRATAÇÃO DE LODO</t>
  </si>
  <si>
    <t>MONTAGEM ELÉTRICA - SDL</t>
  </si>
  <si>
    <t>CONSTRUÇÃO DA CAIXA DE PASSAGEM CP-2, 400X400X600MM.</t>
  </si>
  <si>
    <t>ENVOLTÓRIA COM AREIA</t>
  </si>
  <si>
    <t>POÇO DE VISITA  ANEL CONCRETO  P/ COLETOR DE ESGOTO SANITÁRIO</t>
  </si>
  <si>
    <t>POÇO DE VISITA  PARA REDE DE ESGOTO SANITÁRIO, EM ANÉIS DE CONCRETO , DIÂMETRO DE 60CM E 110CM, PROF=350CM, INCLUINDO DEGRAU , EXCLUINDO FERRO DE  FUNDIDO.</t>
  </si>
  <si>
    <t>FORNECIMENTO  E/ OU  ASSENTAMENTO DE TUBO DE PVC  COM JUNTA ELÁSTICA.</t>
  </si>
  <si>
    <t>ASSENTAMENTO TUBO PVC, RPVC, PVC DEFOFO, PRFV, PARA ESGOTO COM JE.</t>
  </si>
  <si>
    <t>FORNECIMENTO E/OU ASSENTAMENTO DE HIDRANTES, TAMPÕES E PEÇAS ESPECIAIS.</t>
  </si>
  <si>
    <t>ASSENTAMENTO DE TAMPÃO DE FERRO FUNDIDO 600MM</t>
  </si>
  <si>
    <t>MONTAGEM E ASSENTAMENTO DE TUBULAÇÕES DE AÇO CARBONO INCLUINDO SOLDAGEM EM CAMPO E REPARO DO REVESTIMENTO DAS JUNTAS.</t>
  </si>
  <si>
    <t>LASTRO DE PEDRA BRITADA E FUNDAÇÕES EM BALDRAME</t>
  </si>
  <si>
    <t>EXECUÇÃO DE POÇO DE DRENAGEM COM TUBOS DE CONCRETO ARMADO EA-2  DE D=1,00 E H=0,50M.</t>
  </si>
  <si>
    <t>ALVENARIA DE 1 VEZ DE TIJOLO CERAMICO FURADO</t>
  </si>
  <si>
    <t>ALVENARIA EM TIJOLO CERAMICO FURADO 10X20X20CM, 1 VEZ, ASSENTADO EM ARGAMASSA TRACO 1:2:8 (CIMENTO, CAL E AREIA), JUNTAS 10MM.</t>
  </si>
  <si>
    <t>ESTRUTURA METÁLICA</t>
  </si>
  <si>
    <t>PORTA E / OU CHAPA DE FERRO</t>
  </si>
  <si>
    <t>IMPERMEABILIZACAO COM CIMENTO CRISTALIZADO</t>
  </si>
  <si>
    <t>IMPERMEAB. DE FUNDACOES/BALDRAMES/MUROS DE ARRIMO/ALICERCES E REVEST. EM CONTATO C/SOLO - UTILIZ. TINTA BETUMINOSA TIPO NEUTROLIN / DUAS DEMÃOS .</t>
  </si>
  <si>
    <t>IMPERMEABILIZAÇÃO COM MASTIQUE</t>
  </si>
  <si>
    <t>IMPERMEABILIZACAO DE LAJES.</t>
  </si>
  <si>
    <t>IMPERMEABILIZAÇÕES COM MANTA</t>
  </si>
  <si>
    <t>IMPERMEABILIZACAO DE TERRACOS E LAJES</t>
  </si>
  <si>
    <t>MONTAGEM HIDRÁULICA E HIDROMECÂNICA DE EQUIPAMENTOS, VÁLVULAS, TUBOS, PEÇAS E ACESSÓRIOS DA LISTA DE MATERIAL DA ESTAÇÃO ELEVATÓRIA DE ÁGUA PARA LAVAGEM DOS FILTROS.</t>
  </si>
  <si>
    <t>MONTAGEM DE MATERIAIS E EQUIPAMENTOS ELÉTRICOS, DE AUTOMAÇÃO E DIVERSOS - ELEVATÓRIA DE LAVAGEM</t>
  </si>
  <si>
    <t>MONTAGEM ELÉTRICA - ELEVATÓRIA DE LAVAGEM</t>
  </si>
  <si>
    <t xml:space="preserve">CAIXA DE LIGAÇÃO ("CONDULETE"), TIPO "T",  Ø3/4", COM TAMPA CEGA. </t>
  </si>
  <si>
    <t>VIDROS / ESPELHOS</t>
  </si>
  <si>
    <t>INSTALAÇÕES HIDRO SANITÁRIAS</t>
  </si>
  <si>
    <t>MONTAGEM HIDRÁULICA E HIDROMECÂNICA DE EQUIPAMENTOS, VÁLVULAS, TUBOS, PEÇAS E ACESSÓRIOS DA PORTARIA.</t>
  </si>
  <si>
    <t>MONTAGEM DE MATERIAIS E EQUIPAMENTOS ELÉTRICOS, DE AUTOMAÇÃO E DIVERSOS - PORTARIA</t>
  </si>
  <si>
    <t>MONTAGEM ELÉTRICA - PORTARIA</t>
  </si>
  <si>
    <t>CAIXA DE LIGAÇÃO ("CONDULETE"), TIPO "X", Ø3/4", COM TAMPA CEGA.</t>
  </si>
  <si>
    <t xml:space="preserve">ESCAVAÇÃO MANUAL DE VALAS </t>
  </si>
  <si>
    <t>ATERRO / REATERRO DE VALAS SEM OU COM COMPACTAÇÃO</t>
  </si>
  <si>
    <t>ATERRO / REATERRO DE VALAS</t>
  </si>
  <si>
    <t>CARGA,  DESCARGA  E/ OU  TRANSPORTE  DE  MATERIAIS</t>
  </si>
  <si>
    <t>FUNDAÇÕES E ESTRUTURA</t>
  </si>
  <si>
    <t>LAJE PRÉ FABRICADA</t>
  </si>
  <si>
    <t>PAREDE E PAINÉIS</t>
  </si>
  <si>
    <t>ESQUADRIAS</t>
  </si>
  <si>
    <t>PORTA E/OU TAMPA DE FERRO</t>
  </si>
  <si>
    <t>PORTA DE FERRO DE ABRIR</t>
  </si>
  <si>
    <t>JANELA BASCULANTE DE ALUMÍNIO</t>
  </si>
  <si>
    <t xml:space="preserve">CHAPISCO </t>
  </si>
  <si>
    <t xml:space="preserve">EMBOÇO </t>
  </si>
  <si>
    <t xml:space="preserve">REBOCO </t>
  </si>
  <si>
    <t>IMPERMEABILIZAÇÃO BETUMINOSA COM EMULSÃO ASFÁLTICA E ACRÍLICA.</t>
  </si>
  <si>
    <t>IMPERMEABILIZAÇÃO DE FUNDAÇÕES/ BALDRAMES/ MUROS DE ARRIMO / ALICERCES E REVESTIMENTO EM CONTATO COM SOLO - UTILIZAÇÃO DE TINTA BETUMINOSA TIPO NEUTROLIN / 2 DEMÃOS.</t>
  </si>
  <si>
    <t>FIXAÇÃO DA TELHA DE FIBROCIMENTO</t>
  </si>
  <si>
    <t>MONTAGEM DE MATERIAIS E EQUIPAMENTOS ELÉTRICOS, DE AUTOMAÇÃO E DIVERSOS - SALA DE PAINÉIS</t>
  </si>
  <si>
    <t>MONTAGEM ELÉTRICA</t>
  </si>
  <si>
    <t>INSTALAÇÃO DE PAINÉIS, CONFORME COMPOSIÇÃO EM ANEXO.</t>
  </si>
  <si>
    <t xml:space="preserve">CAIXA DE LIGAÇÃO ("CONDULETE"), TIPO "LL",  Ø3/4", COM TAMPA CEGA. </t>
  </si>
  <si>
    <t>LOCAÇÃO DA OBRA</t>
  </si>
  <si>
    <t>ACESSOS E PASSADIÇOS</t>
  </si>
  <si>
    <t>PASSADIÇOS E TRAVESSIAS - MONTAGEM, MANUTENÇÃO E REMOÇÃO.</t>
  </si>
  <si>
    <t>ENVOLTÓRIA DE AREIA</t>
  </si>
  <si>
    <t>CAIXA DE INSPEÇÃO OU PASSAGEM 60 X 120CM TAMPA DE CONCRETO.</t>
  </si>
  <si>
    <t>MONTAGEM HIDRÁULICA E HIDROMECÂNICA DOS EQUIPAMENTOS OS SISTEMA DE TRATAMENTO DE EFLUENTES.</t>
  </si>
  <si>
    <t>ASSENTAMENTO TUBO PVC, RPVC, PVC DEFOFO, PRFV, PARA ÁGUA COM JE.</t>
  </si>
  <si>
    <t>LASTROS / FUNDAÇÕES DIVERSAS</t>
  </si>
  <si>
    <t>M²</t>
  </si>
  <si>
    <t>MÊS</t>
  </si>
  <si>
    <t>EQ X DIA</t>
  </si>
  <si>
    <t>M³</t>
  </si>
  <si>
    <t>M</t>
  </si>
  <si>
    <t>CJ.</t>
  </si>
  <si>
    <t>PÇ.</t>
  </si>
  <si>
    <t>UN</t>
  </si>
  <si>
    <t>CJ</t>
  </si>
  <si>
    <t>VB</t>
  </si>
  <si>
    <t xml:space="preserve">UN </t>
  </si>
  <si>
    <t>UNID</t>
  </si>
  <si>
    <t>GB</t>
  </si>
  <si>
    <t>Quantidade Plan. Base</t>
  </si>
  <si>
    <t>Quantidade Acumulada Medição 10</t>
  </si>
  <si>
    <t>Quantidade à Licitar</t>
  </si>
  <si>
    <t>CANTEIRO DE OBRAS</t>
  </si>
  <si>
    <t>TOTAL ITEM 1</t>
  </si>
  <si>
    <t>TOTAL ITEM 2</t>
  </si>
  <si>
    <t>TOTAL ITEM 4</t>
  </si>
  <si>
    <t xml:space="preserve">TOTAL ITEM 6 </t>
  </si>
  <si>
    <t>TOTAL ITEM 8</t>
  </si>
  <si>
    <t>TOTAL ITEM 10</t>
  </si>
  <si>
    <t>TOTAL ITEM 12.1</t>
  </si>
  <si>
    <t>TOTAL ITEM 12.2</t>
  </si>
  <si>
    <t>TOTAL ITEM 14.1</t>
  </si>
  <si>
    <t>TOTAL ITEM 16</t>
  </si>
  <si>
    <t>TOTAL ITEM 18</t>
  </si>
  <si>
    <t>TOTAL 18.2</t>
  </si>
  <si>
    <t>TOTAL ITEM 20.1</t>
  </si>
  <si>
    <t>TOTAL ITEM 20.2</t>
  </si>
  <si>
    <t>TOTAL ITEM 20.3</t>
  </si>
  <si>
    <t>TOTAL ITEM 22</t>
  </si>
  <si>
    <t>TOTAL ITEM 22.2</t>
  </si>
  <si>
    <t>TOTAL ITEM 24.1</t>
  </si>
  <si>
    <t>TOTAL ITEM 22.4</t>
  </si>
  <si>
    <t>TOTAL ITEM 24.3</t>
  </si>
  <si>
    <t>TOTAL ITEM 24.4</t>
  </si>
  <si>
    <t>TOTAL ITEM 24.5</t>
  </si>
  <si>
    <t>TOTAL ITEM 24.6</t>
  </si>
  <si>
    <t>TOTAL ITEM 24.7</t>
  </si>
  <si>
    <t>TOTAL ITEM 24.8</t>
  </si>
  <si>
    <t>TOTAL ITEM 24.9</t>
  </si>
  <si>
    <t>TOTAL ITEM 26</t>
  </si>
  <si>
    <t>TOTAL ITEM 28</t>
  </si>
  <si>
    <t>TOTAL ITEM 29</t>
  </si>
  <si>
    <t>TOTAL ITEM 29.2</t>
  </si>
  <si>
    <t>TOTAL ITEM 31</t>
  </si>
  <si>
    <t>TOTAL ITEM 31.2</t>
  </si>
  <si>
    <t>TOTAL ITEM 33</t>
  </si>
  <si>
    <t>TOTAL ITEM 33.2</t>
  </si>
  <si>
    <t>TOTAL ITEM 35</t>
  </si>
  <si>
    <t>TOTAL ITEM 37</t>
  </si>
  <si>
    <t>TOTAL ITEM 14.2</t>
  </si>
  <si>
    <t>DESCRIÇÃO</t>
  </si>
  <si>
    <t>Item Componente do BDI</t>
  </si>
  <si>
    <r>
      <t>A</t>
    </r>
    <r>
      <rPr>
        <sz val="11"/>
        <rFont val="Arial"/>
        <family val="2"/>
      </rPr>
      <t xml:space="preserve">dministração </t>
    </r>
    <r>
      <rPr>
        <b/>
        <sz val="11"/>
        <rFont val="Arial"/>
        <family val="2"/>
      </rPr>
      <t>C</t>
    </r>
    <r>
      <rPr>
        <sz val="11"/>
        <rFont val="Arial"/>
        <family val="2"/>
      </rPr>
      <t>entral</t>
    </r>
  </si>
  <si>
    <r>
      <t>S</t>
    </r>
    <r>
      <rPr>
        <sz val="11"/>
        <rFont val="Arial"/>
        <family val="2"/>
      </rPr>
      <t xml:space="preserve">eguro e </t>
    </r>
    <r>
      <rPr>
        <b/>
        <sz val="11"/>
        <rFont val="Arial"/>
        <family val="2"/>
      </rPr>
      <t>G</t>
    </r>
    <r>
      <rPr>
        <sz val="11"/>
        <rFont val="Arial"/>
        <family val="2"/>
      </rPr>
      <t>arantia</t>
    </r>
  </si>
  <si>
    <r>
      <t>R</t>
    </r>
    <r>
      <rPr>
        <sz val="11"/>
        <rFont val="Arial"/>
        <family val="2"/>
      </rPr>
      <t>isco</t>
    </r>
  </si>
  <si>
    <r>
      <t>D</t>
    </r>
    <r>
      <rPr>
        <sz val="11"/>
        <rFont val="Arial"/>
        <family val="2"/>
      </rPr>
      <t xml:space="preserve">espesas </t>
    </r>
    <r>
      <rPr>
        <b/>
        <sz val="11"/>
        <rFont val="Arial"/>
        <family val="2"/>
      </rPr>
      <t>F</t>
    </r>
    <r>
      <rPr>
        <sz val="11"/>
        <rFont val="Arial"/>
        <family val="2"/>
      </rPr>
      <t>inanceiras</t>
    </r>
  </si>
  <si>
    <r>
      <t>L</t>
    </r>
    <r>
      <rPr>
        <sz val="11"/>
        <rFont val="Arial"/>
        <family val="2"/>
      </rPr>
      <t>ucro</t>
    </r>
  </si>
  <si>
    <r>
      <t>I1:</t>
    </r>
    <r>
      <rPr>
        <sz val="11"/>
        <rFont val="Arial"/>
        <family val="2"/>
      </rPr>
      <t xml:space="preserve"> PIS e COFINS</t>
    </r>
  </si>
  <si>
    <r>
      <t>I2:</t>
    </r>
    <r>
      <rPr>
        <sz val="11"/>
        <rFont val="Arial"/>
        <family val="2"/>
      </rPr>
      <t xml:space="preserve"> ISSQN (conforme legislação municipal)</t>
    </r>
  </si>
  <si>
    <r>
      <rPr>
        <b/>
        <sz val="11"/>
        <rFont val="Arial"/>
        <family val="2"/>
      </rPr>
      <t>I3:</t>
    </r>
    <r>
      <rPr>
        <sz val="11"/>
        <rFont val="Arial"/>
        <family val="2"/>
      </rPr>
      <t xml:space="preserve"> Cont.Prev s/Rec.Bruta (Lei 13.161/15 - Com desoneração)</t>
    </r>
  </si>
  <si>
    <t>BDI - SEM Desoneração da folha de pagamento</t>
  </si>
  <si>
    <t>BDI - COM Desoneração da folha de pagamento</t>
  </si>
  <si>
    <t>QUANTIDADES MERAMENTES ILUSTRATIVAS, SENDO QUE SERA OBTIVO EXATIDAO APOS PROJETOS EXECUTIVOS COMPLEMENTARES. O PROCEDIMENTO ADOTADO NA ELABORAÇÃO DESTA PLANILHA ESTÁ DE ACORDO COM PREÇOS UNITÁRIOS, EXTRAÍDOS E  MULTIPLICADO DOS ÍNDICES DA TCPO (TABELAS DE COMPOSIÇÕES DE PREÇOS PARA ORÇAMENTO) E RESPEITANDO PREÇOS DE INSUMOS BASE SINAPI. NOS CASOS EM QUE O SERVIÇO OU INSUMO NÃO CONSTA DO BANCO DE DADOS DA REFERIDA TABELA, FORAM ADOTADAS OUTRAS BASES DE PREÇOS RELATIVOS (SINAPI, CPOS, FDE, SIURB E/OU DER ). PARA SERVIÇOS DE VERBA E OU NÃO ENCONTRADOS,  UTILIZAMOS COMPOSIÇÔES GERADAS POR ESTE BANCO DE DADOS, RESPEITANDO INSUMOS BASE PINI.</t>
  </si>
  <si>
    <t>CÓDIGOS</t>
  </si>
  <si>
    <t>DATA BASE</t>
  </si>
  <si>
    <t>SISTEMA NACIONAL DE PESQUISA DE CUSTOS E ÍNDICES DA CONSTRUÇÃO CIVIL</t>
  </si>
  <si>
    <t>CPOS</t>
  </si>
  <si>
    <t>DESCRIÇÃO DOS SERVIÇOS</t>
  </si>
  <si>
    <t>='Plan Tron'!B11</t>
  </si>
  <si>
    <t>=B170</t>
  </si>
  <si>
    <t>P9O8I7YTR56Y72`1,0</t>
  </si>
  <si>
    <t>indice financeiro a atualizar</t>
  </si>
  <si>
    <r>
      <rPr>
        <b/>
        <sz val="10"/>
        <rFont val="Arial Narrow"/>
        <family val="2"/>
      </rPr>
      <t>Local :</t>
    </r>
    <r>
      <rPr>
        <sz val="10"/>
        <rFont val="Arial Narrow"/>
        <family val="2"/>
      </rPr>
      <t xml:space="preserve"> MUNICÍPIO DE CORDEIRÓPOLIS</t>
    </r>
  </si>
  <si>
    <r>
      <rPr>
        <b/>
        <sz val="10"/>
        <rFont val="Arial Narrow"/>
        <family val="2"/>
      </rPr>
      <t>Obra :</t>
    </r>
    <r>
      <rPr>
        <sz val="10"/>
        <rFont val="Arial Narrow"/>
        <family val="2"/>
      </rPr>
      <t xml:space="preserve"> IMPLANTAÇÃO DA ESTAÇÃO DE TRATAMENTO DE ÁGUA - ETA</t>
    </r>
  </si>
  <si>
    <r>
      <rPr>
        <b/>
        <sz val="10"/>
        <rFont val="Arial Narrow"/>
        <family val="2"/>
      </rPr>
      <t>Proprietário:</t>
    </r>
    <r>
      <rPr>
        <sz val="10"/>
        <rFont val="Arial Narrow"/>
        <family val="2"/>
      </rPr>
      <t xml:space="preserve"> PREFEITURA MUNICIPAL DE CORDEIRÓPOLIS</t>
    </r>
  </si>
  <si>
    <r>
      <t xml:space="preserve">DATA BASE: </t>
    </r>
    <r>
      <rPr>
        <sz val="10"/>
        <rFont val="Arial Narrow"/>
        <family val="2"/>
      </rPr>
      <t>MARÇO 2017</t>
    </r>
  </si>
  <si>
    <r>
      <t xml:space="preserve">ARQUIVO: </t>
    </r>
    <r>
      <rPr>
        <sz val="10"/>
        <rFont val="Arial Narrow"/>
        <family val="2"/>
      </rPr>
      <t>051 - O - 1558 - 20 - 001_0</t>
    </r>
  </si>
  <si>
    <t>MAQUINARIOS E EQUIPAMENTO</t>
  </si>
  <si>
    <t>00000792 BUCHA DE REDUCAO PVC ROSCAVEL, 1" X 3/4" UN C 2,42</t>
  </si>
  <si>
    <t>FORNECEDOR</t>
  </si>
  <si>
    <t>GEA</t>
  </si>
  <si>
    <t>LEMIFER</t>
  </si>
  <si>
    <t>Página PDF</t>
  </si>
  <si>
    <t>Controle Renato</t>
  </si>
  <si>
    <t>30, 28, 35</t>
  </si>
  <si>
    <t>134, 139</t>
  </si>
  <si>
    <t>ENMAC, TECH COMPOSITES</t>
  </si>
  <si>
    <t>REDC</t>
  </si>
  <si>
    <t>FIBRAV</t>
  </si>
  <si>
    <t>156, 159, 208</t>
  </si>
  <si>
    <t>VIBROPAC, HELIFER, NETZSCH</t>
  </si>
  <si>
    <t>FLUID FEEDER</t>
  </si>
  <si>
    <t>SGO</t>
  </si>
  <si>
    <t>RUDC</t>
  </si>
  <si>
    <t>PAN SAINT GLOBAL</t>
  </si>
  <si>
    <t>XYLEN</t>
  </si>
  <si>
    <t>ROLEFLEX</t>
  </si>
  <si>
    <t>GEREMIA</t>
  </si>
  <si>
    <t>Alfa Laval Ltda.</t>
  </si>
  <si>
    <t>GRABE</t>
  </si>
  <si>
    <t>MODELAÇO</t>
  </si>
  <si>
    <t>P.P. Galpões Construções Pré-Fabricadas de Concreto.</t>
  </si>
  <si>
    <t>IMBIL</t>
  </si>
  <si>
    <t>CAETANO</t>
  </si>
  <si>
    <t>CONEXO</t>
  </si>
  <si>
    <t>RPL</t>
  </si>
  <si>
    <t>VALOY</t>
  </si>
  <si>
    <t>Preço atualizado cotações</t>
  </si>
  <si>
    <t>Preço a procurar nas cotações</t>
  </si>
  <si>
    <t>%</t>
  </si>
  <si>
    <t>ARAUJO</t>
  </si>
  <si>
    <t>VCW</t>
  </si>
  <si>
    <t>SIGMA</t>
  </si>
  <si>
    <t>NIAGARA</t>
  </si>
  <si>
    <t>TECNOSANE</t>
  </si>
  <si>
    <t>VALIFER</t>
  </si>
  <si>
    <t>ELÉTRICA</t>
  </si>
  <si>
    <t>HIDRÁULICA LEVE</t>
  </si>
  <si>
    <t>HIDRÁULICA PESADA</t>
  </si>
  <si>
    <t>elétrica</t>
  </si>
  <si>
    <t>H Pesada</t>
  </si>
  <si>
    <t>H Leve</t>
  </si>
  <si>
    <t>elétrico</t>
  </si>
  <si>
    <t>COMPANHIA PAULISTA DE OBRA E SERVIÇO</t>
  </si>
  <si>
    <t>COT</t>
  </si>
  <si>
    <t>COTAÇAO DE MERCADO</t>
  </si>
  <si>
    <t xml:space="preserve">Preço Unitário </t>
  </si>
  <si>
    <t>CRONOGRAMA FÍSICO FINANCEIRO</t>
  </si>
  <si>
    <t>VALOR TOTAL SERVIÇOS (R$)</t>
  </si>
  <si>
    <t>PESO          %</t>
  </si>
  <si>
    <t>MÊS 01</t>
  </si>
  <si>
    <t>MÊS 02</t>
  </si>
  <si>
    <t>MÊS 03</t>
  </si>
  <si>
    <t>MÊS 04</t>
  </si>
  <si>
    <t>MÊS 05</t>
  </si>
  <si>
    <t>MÊS 06</t>
  </si>
  <si>
    <t>MÊS 07</t>
  </si>
  <si>
    <t>MÊS 08</t>
  </si>
  <si>
    <t>MÊS 09</t>
  </si>
  <si>
    <t>MÊS 10</t>
  </si>
  <si>
    <t>MÊS 11</t>
  </si>
  <si>
    <t>MÊS 12</t>
  </si>
  <si>
    <t>MÊS 13</t>
  </si>
  <si>
    <t>MÊS 14</t>
  </si>
  <si>
    <t>MÊS 15</t>
  </si>
  <si>
    <t>MÊS 16</t>
  </si>
  <si>
    <t>MÊS 17</t>
  </si>
  <si>
    <t>MÊS 18</t>
  </si>
  <si>
    <t>SIMPL.%</t>
  </si>
  <si>
    <t>ACUM. %</t>
  </si>
  <si>
    <t>OBRAS CIVIS E SERVIÇOS</t>
  </si>
  <si>
    <t xml:space="preserve">OBRAS GERAIS </t>
  </si>
  <si>
    <t xml:space="preserve">DISTRIBUIÇÃO GERAL </t>
  </si>
  <si>
    <t xml:space="preserve">PLATAFORMA METÁLICA </t>
  </si>
  <si>
    <t xml:space="preserve">ESTAÇÃO ELEVATÓRIA PARA O RESERVATÓRIO ELEVADO DE ÁGUA PARA PROCESSOS </t>
  </si>
  <si>
    <t>CASA DE QUÍMICA</t>
  </si>
  <si>
    <t>1.12</t>
  </si>
  <si>
    <t>RESERVATÓRIO ELEVADO</t>
  </si>
  <si>
    <t>1.13</t>
  </si>
  <si>
    <t xml:space="preserve">POÇO DE MANOBRA </t>
  </si>
  <si>
    <t>1.14</t>
  </si>
  <si>
    <t xml:space="preserve">TANQUE DE EQUALIZAÇÃO </t>
  </si>
  <si>
    <t>1.15</t>
  </si>
  <si>
    <t xml:space="preserve">ESTAÇÃO ELEVATÓRIA DE RECIRCULAÇÃO </t>
  </si>
  <si>
    <t>1.16</t>
  </si>
  <si>
    <t>1.17</t>
  </si>
  <si>
    <t>CASA DE DESIDRATAÇÃO DE LODO - OBRA</t>
  </si>
  <si>
    <t>1.18</t>
  </si>
  <si>
    <t>MEZANINO DA CASA DE DESIDRATAÇÃO</t>
  </si>
  <si>
    <t>1.19</t>
  </si>
  <si>
    <t>1.20</t>
  </si>
  <si>
    <t>BLOCOS DE ANCORAGEM - OBRAS CIVIS E SERVIÇOS</t>
  </si>
  <si>
    <t>1.21</t>
  </si>
  <si>
    <t xml:space="preserve">ESTAÇÃO ELEVATÓRIA DE ÁGUA PARA LAVAGEM DOS FILTROS
</t>
  </si>
  <si>
    <t>1.22</t>
  </si>
  <si>
    <t xml:space="preserve">PORTARIA </t>
  </si>
  <si>
    <t>1.23</t>
  </si>
  <si>
    <t>1.24</t>
  </si>
  <si>
    <t xml:space="preserve">REDE DE ESGOTO SANITÁRIO </t>
  </si>
  <si>
    <t>1.25</t>
  </si>
  <si>
    <t>2.10</t>
  </si>
  <si>
    <t>2.11</t>
  </si>
  <si>
    <t>2.12</t>
  </si>
  <si>
    <t>2.13</t>
  </si>
  <si>
    <t>2.14</t>
  </si>
  <si>
    <t>2.15</t>
  </si>
  <si>
    <t>2.16</t>
  </si>
  <si>
    <t>2.17</t>
  </si>
  <si>
    <t>2.18</t>
  </si>
  <si>
    <t>2.19</t>
  </si>
  <si>
    <t>2.20</t>
  </si>
  <si>
    <t>2.21</t>
  </si>
  <si>
    <t>2.22</t>
  </si>
  <si>
    <t>Total da Obra</t>
  </si>
  <si>
    <t>Totais de cada mês</t>
  </si>
  <si>
    <t>1.26</t>
  </si>
  <si>
    <t>1.27</t>
  </si>
  <si>
    <t>1.28</t>
  </si>
  <si>
    <t>1.29</t>
  </si>
  <si>
    <t>1.30</t>
  </si>
  <si>
    <t>1.31</t>
  </si>
  <si>
    <t>1.32</t>
  </si>
  <si>
    <t>1.33</t>
  </si>
  <si>
    <t>1.34</t>
  </si>
  <si>
    <t>1.35</t>
  </si>
  <si>
    <t>1.36</t>
  </si>
  <si>
    <t>1.37</t>
  </si>
  <si>
    <t>2.23</t>
  </si>
  <si>
    <t>2.24</t>
  </si>
  <si>
    <t>2.25</t>
  </si>
  <si>
    <t>2.26</t>
  </si>
  <si>
    <t>2.27</t>
  </si>
  <si>
    <t>2.28</t>
  </si>
  <si>
    <t>2.29</t>
  </si>
  <si>
    <t>2.30</t>
  </si>
  <si>
    <t>2.31</t>
  </si>
  <si>
    <t>Itens de Relevancia</t>
  </si>
  <si>
    <t>Descriçao</t>
  </si>
  <si>
    <t>Quant.</t>
  </si>
  <si>
    <t>Quant a solicitar em edital</t>
  </si>
  <si>
    <t>b</t>
  </si>
  <si>
    <t>c</t>
  </si>
  <si>
    <t>d</t>
  </si>
  <si>
    <t>f</t>
  </si>
  <si>
    <t>g</t>
  </si>
  <si>
    <t>i</t>
  </si>
</sst>
</file>

<file path=xl/styles.xml><?xml version="1.0" encoding="utf-8"?>
<styleSheet xmlns="http://schemas.openxmlformats.org/spreadsheetml/2006/main">
  <numFmts count="17">
    <numFmt numFmtId="44" formatCode="_-&quot;R$&quot;\ * #,##0.00_-;\-&quot;R$&quot;\ * #,##0.00_-;_-&quot;R$&quot;\ * &quot;-&quot;??_-;_-@_-"/>
    <numFmt numFmtId="43" formatCode="_-* #,##0.00_-;\-* #,##0.00_-;_-* &quot;-&quot;??_-;_-@_-"/>
    <numFmt numFmtId="164" formatCode="_(&quot;R$ &quot;* #,##0.00_);_(&quot;R$ &quot;* \(#,##0.00\);_(&quot;R$ &quot;* &quot;-&quot;??_);_(@_)"/>
    <numFmt numFmtId="165" formatCode="_([$€-2]* #,##0.00_);_([$€-2]* \(#,##0.00\);_([$€-2]* &quot;-&quot;??_)"/>
    <numFmt numFmtId="166" formatCode="#,##0.000_);\(#,##0.000\)"/>
    <numFmt numFmtId="167" formatCode="_([$€]* #,##0.00_);_([$€]* \(#,##0.00\);_([$€]* &quot;-&quot;??_);_(@_)"/>
    <numFmt numFmtId="168" formatCode="0.000_)"/>
    <numFmt numFmtId="169" formatCode="00000000"/>
    <numFmt numFmtId="170" formatCode="0.0"/>
    <numFmt numFmtId="171" formatCode="_-[$R$-416]\ * #,##0.00_-;\-[$R$-416]\ * #,##0.00_-;_-[$R$-416]\ * &quot;-&quot;??_-;_-@_-"/>
    <numFmt numFmtId="172" formatCode="#,##0.00_ ;\-#,##0.00\ "/>
    <numFmt numFmtId="173" formatCode="#,##0.00\ ;&quot; (&quot;#,##0.00\);&quot; -&quot;#\ ;@\ "/>
    <numFmt numFmtId="174" formatCode="&quot; R$&quot;#,##0.00\ ;&quot; R$(&quot;#,##0.00\);&quot; R$-&quot;#\ ;@\ "/>
    <numFmt numFmtId="175" formatCode="_(* #,##0.00_);_(* \(#,##0.00\);_(* &quot;-&quot;??_);_(@_)"/>
    <numFmt numFmtId="176" formatCode="&quot;R$&quot;#,##0\ ;[Red]&quot;(R$&quot;#,##0\)"/>
    <numFmt numFmtId="177" formatCode="[$-416]mmm\-yy;@"/>
    <numFmt numFmtId="178" formatCode="&quot; R$ &quot;#,##0.00\ ;&quot; R$ (&quot;#,##0.00\);&quot; R$ -&quot;#\ ;@\ "/>
  </numFmts>
  <fonts count="50">
    <font>
      <sz val="11"/>
      <color theme="1"/>
      <name val="Calibri"/>
      <family val="2"/>
      <scheme val="minor"/>
    </font>
    <font>
      <sz val="11"/>
      <color theme="1"/>
      <name val="Calibri"/>
      <family val="2"/>
      <scheme val="minor"/>
    </font>
    <font>
      <sz val="12"/>
      <name val="Times New Roman"/>
      <family val="1"/>
    </font>
    <font>
      <sz val="10"/>
      <name val="Arial"/>
      <family val="2"/>
    </font>
    <font>
      <sz val="11"/>
      <color indexed="8"/>
      <name val="Calibri"/>
      <family val="2"/>
    </font>
    <font>
      <sz val="11"/>
      <color theme="1"/>
      <name val="Times New Roman"/>
      <family val="2"/>
    </font>
    <font>
      <sz val="12"/>
      <name val="Arial MT"/>
    </font>
    <font>
      <sz val="10"/>
      <name val="MS Sans Serif"/>
      <family val="2"/>
    </font>
    <font>
      <sz val="10"/>
      <name val="Arial Narrow"/>
      <family val="2"/>
    </font>
    <font>
      <sz val="10"/>
      <color indexed="8"/>
      <name val="Arial Narrow"/>
      <family val="2"/>
    </font>
    <font>
      <b/>
      <sz val="10"/>
      <name val="Arial Narrow"/>
      <family val="2"/>
    </font>
    <font>
      <sz val="10"/>
      <color theme="1"/>
      <name val="Arial Narrow"/>
      <family val="2"/>
    </font>
    <font>
      <b/>
      <sz val="10"/>
      <color theme="1"/>
      <name val="Arial Narrow"/>
      <family val="2"/>
    </font>
    <font>
      <sz val="10"/>
      <color rgb="FFFF0000"/>
      <name val="Arial Narrow"/>
      <family val="2"/>
    </font>
    <font>
      <i/>
      <sz val="10"/>
      <name val="Arial Narrow"/>
      <family val="2"/>
    </font>
    <font>
      <b/>
      <i/>
      <sz val="10"/>
      <name val="Arial Narrow"/>
      <family val="2"/>
    </font>
    <font>
      <b/>
      <u/>
      <sz val="10"/>
      <name val="Arial Narrow"/>
      <family val="2"/>
    </font>
    <font>
      <b/>
      <sz val="10"/>
      <color indexed="8"/>
      <name val="Arial Narrow"/>
      <family val="2"/>
    </font>
    <font>
      <u/>
      <sz val="10"/>
      <name val="Arial Narrow"/>
      <family val="2"/>
    </font>
    <font>
      <u/>
      <sz val="10"/>
      <color theme="1"/>
      <name val="Arial Narrow"/>
      <family val="2"/>
    </font>
    <font>
      <i/>
      <u/>
      <sz val="10"/>
      <name val="Arial Narrow"/>
      <family val="2"/>
    </font>
    <font>
      <i/>
      <u/>
      <sz val="10"/>
      <color theme="1"/>
      <name val="Arial Narrow"/>
      <family val="2"/>
    </font>
    <font>
      <i/>
      <sz val="10"/>
      <color theme="1"/>
      <name val="Arial Narrow"/>
      <family val="2"/>
    </font>
    <font>
      <b/>
      <i/>
      <u/>
      <sz val="10"/>
      <name val="Arial Narrow"/>
      <family val="2"/>
    </font>
    <font>
      <b/>
      <u/>
      <sz val="10"/>
      <color theme="1"/>
      <name val="Arial Narrow"/>
      <family val="2"/>
    </font>
    <font>
      <b/>
      <i/>
      <u/>
      <sz val="10"/>
      <color theme="1"/>
      <name val="Arial Narrow"/>
      <family val="2"/>
    </font>
    <font>
      <b/>
      <i/>
      <sz val="10"/>
      <color theme="1"/>
      <name val="Arial Narrow"/>
      <family val="2"/>
    </font>
    <font>
      <b/>
      <sz val="12"/>
      <color rgb="FFFF0000"/>
      <name val="Arial Narrow"/>
      <family val="2"/>
    </font>
    <font>
      <sz val="10"/>
      <color indexed="8"/>
      <name val="Arial"/>
      <family val="2"/>
    </font>
    <font>
      <b/>
      <sz val="12"/>
      <name val="Arial"/>
      <family val="2"/>
    </font>
    <font>
      <b/>
      <sz val="11"/>
      <name val="Arial"/>
      <family val="2"/>
    </font>
    <font>
      <sz val="11"/>
      <name val="Arial"/>
      <family val="2"/>
    </font>
    <font>
      <b/>
      <sz val="12"/>
      <color theme="0"/>
      <name val="Arial"/>
      <family val="2"/>
    </font>
    <font>
      <b/>
      <sz val="10"/>
      <color indexed="9"/>
      <name val="Arial"/>
      <family val="2"/>
    </font>
    <font>
      <b/>
      <sz val="10"/>
      <color rgb="FFFF0000"/>
      <name val="Arial Narrow"/>
      <family val="2"/>
    </font>
    <font>
      <sz val="12"/>
      <color rgb="FFFF0000"/>
      <name val="Arial Narrow"/>
      <family val="2"/>
    </font>
    <font>
      <sz val="12"/>
      <color rgb="FFFFFF00"/>
      <name val="Arial Narrow"/>
      <family val="2"/>
    </font>
    <font>
      <b/>
      <sz val="10"/>
      <color rgb="FFFFFF00"/>
      <name val="Arial Narrow"/>
      <family val="2"/>
    </font>
    <font>
      <b/>
      <sz val="12"/>
      <color rgb="FFFFFF00"/>
      <name val="Arial Narrow"/>
      <family val="2"/>
    </font>
    <font>
      <sz val="12"/>
      <color theme="0"/>
      <name val="Arial Narrow"/>
      <family val="2"/>
    </font>
    <font>
      <b/>
      <sz val="10"/>
      <color theme="0"/>
      <name val="Arial Narrow"/>
      <family val="2"/>
    </font>
    <font>
      <b/>
      <sz val="12"/>
      <color theme="0"/>
      <name val="Arial Narrow"/>
      <family val="2"/>
    </font>
    <font>
      <sz val="14"/>
      <name val="Britannic Bold"/>
      <family val="2"/>
      <charset val="1"/>
    </font>
    <font>
      <sz val="10"/>
      <name val="Arial Narrow"/>
      <family val="2"/>
      <charset val="1"/>
    </font>
    <font>
      <sz val="10"/>
      <color indexed="8"/>
      <name val="Arial Narrow"/>
      <family val="2"/>
      <charset val="1"/>
    </font>
    <font>
      <b/>
      <sz val="10"/>
      <name val="Arial"/>
      <family val="2"/>
    </font>
    <font>
      <sz val="9"/>
      <name val="Arial"/>
      <family val="2"/>
    </font>
    <font>
      <sz val="11"/>
      <name val="Arial Narrow"/>
      <family val="2"/>
    </font>
    <font>
      <b/>
      <sz val="11"/>
      <name val="Arial Narrow"/>
      <family val="2"/>
    </font>
    <font>
      <sz val="11"/>
      <color indexed="9"/>
      <name val="Arial Narrow"/>
      <family val="2"/>
    </font>
  </fonts>
  <fills count="1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bgColor indexed="26"/>
      </patternFill>
    </fill>
    <fill>
      <patternFill patternType="solid">
        <fgColor indexed="9"/>
        <bgColor indexed="26"/>
      </patternFill>
    </fill>
    <fill>
      <patternFill patternType="solid">
        <fgColor theme="0" tint="-0.249977111117893"/>
        <bgColor indexed="64"/>
      </patternFill>
    </fill>
    <fill>
      <patternFill patternType="solid">
        <fgColor rgb="FFFFFF00"/>
        <bgColor indexed="64"/>
      </patternFill>
    </fill>
    <fill>
      <patternFill patternType="solid">
        <fgColor theme="0"/>
        <bgColor indexed="31"/>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31"/>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indexed="55"/>
        <bgColor indexed="23"/>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style="thick">
        <color indexed="8"/>
      </right>
      <top style="thick">
        <color indexed="8"/>
      </top>
      <bottom style="thick">
        <color indexed="8"/>
      </bottom>
      <diagonal/>
    </border>
    <border>
      <left style="thick">
        <color indexed="8"/>
      </left>
      <right style="thick">
        <color indexed="8"/>
      </right>
      <top/>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ck">
        <color indexed="8"/>
      </left>
      <right style="thick">
        <color indexed="8"/>
      </right>
      <top/>
      <bottom style="medium">
        <color indexed="8"/>
      </bottom>
      <diagonal/>
    </border>
    <border>
      <left/>
      <right style="medium">
        <color indexed="8"/>
      </right>
      <top/>
      <bottom style="medium">
        <color indexed="8"/>
      </bottom>
      <diagonal/>
    </border>
    <border>
      <left style="medium">
        <color indexed="8"/>
      </left>
      <right style="thick">
        <color indexed="8"/>
      </right>
      <top/>
      <bottom style="medium">
        <color indexed="8"/>
      </bottom>
      <diagonal/>
    </border>
    <border>
      <left/>
      <right/>
      <top style="thick">
        <color indexed="8"/>
      </top>
      <bottom style="thick">
        <color indexed="8"/>
      </bottom>
      <diagonal/>
    </border>
    <border>
      <left style="thick">
        <color indexed="8"/>
      </left>
      <right/>
      <top style="thick">
        <color indexed="8"/>
      </top>
      <bottom style="thick">
        <color indexed="8"/>
      </bottom>
      <diagonal/>
    </border>
    <border>
      <left/>
      <right style="thick">
        <color indexed="8"/>
      </right>
      <top style="thick">
        <color indexed="8"/>
      </top>
      <bottom style="thick">
        <color indexed="8"/>
      </bottom>
      <diagonal/>
    </border>
    <border>
      <left style="medium">
        <color indexed="8"/>
      </left>
      <right/>
      <top style="thick">
        <color indexed="8"/>
      </top>
      <bottom style="thick">
        <color indexed="8"/>
      </bottom>
      <diagonal/>
    </border>
    <border>
      <left/>
      <right/>
      <top style="thick">
        <color indexed="8"/>
      </top>
      <bottom/>
      <diagonal/>
    </border>
  </borders>
  <cellStyleXfs count="467">
    <xf numFmtId="0" fontId="0"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3" fillId="0" borderId="0"/>
    <xf numFmtId="173" fontId="3" fillId="0" borderId="0"/>
    <xf numFmtId="44" fontId="1" fillId="0" borderId="0" applyFont="0" applyFill="0" applyBorder="0" applyAlignment="0" applyProtection="0"/>
    <xf numFmtId="9" fontId="3" fillId="0" borderId="0"/>
    <xf numFmtId="9" fontId="3" fillId="0" borderId="0"/>
    <xf numFmtId="174" fontId="3" fillId="0" borderId="0"/>
    <xf numFmtId="43" fontId="1" fillId="0" borderId="0" applyFont="0" applyFill="0" applyBorder="0" applyAlignment="0" applyProtection="0"/>
    <xf numFmtId="173" fontId="3" fillId="0" borderId="0"/>
    <xf numFmtId="0" fontId="28" fillId="0" borderId="0"/>
    <xf numFmtId="9" fontId="3" fillId="0" borderId="0"/>
    <xf numFmtId="176" fontId="3" fillId="0" borderId="0"/>
    <xf numFmtId="173" fontId="3" fillId="0" borderId="0"/>
    <xf numFmtId="173" fontId="3" fillId="0" borderId="0"/>
    <xf numFmtId="0" fontId="7" fillId="0" borderId="0"/>
    <xf numFmtId="175" fontId="3" fillId="0" borderId="0" applyFont="0" applyFill="0" applyBorder="0" applyAlignment="0" applyProtection="0"/>
    <xf numFmtId="44" fontId="3" fillId="0" borderId="0" applyFill="0" applyBorder="0" applyAlignment="0" applyProtection="0"/>
    <xf numFmtId="9" fontId="3" fillId="0" borderId="0" applyFill="0" applyBorder="0" applyAlignment="0" applyProtection="0"/>
    <xf numFmtId="173" fontId="3" fillId="0" borderId="0"/>
    <xf numFmtId="0" fontId="46" fillId="0" borderId="0"/>
  </cellStyleXfs>
  <cellXfs count="1073">
    <xf numFmtId="0" fontId="0" fillId="0" borderId="0" xfId="0"/>
    <xf numFmtId="0" fontId="8" fillId="5" borderId="0" xfId="0" applyFont="1" applyFill="1" applyAlignment="1"/>
    <xf numFmtId="0" fontId="8" fillId="0" borderId="0" xfId="0" applyFont="1" applyFill="1" applyAlignment="1"/>
    <xf numFmtId="0" fontId="8" fillId="0" borderId="1" xfId="258" applyFont="1" applyFill="1" applyBorder="1" applyAlignment="1">
      <alignment horizontal="center"/>
    </xf>
    <xf numFmtId="4" fontId="8" fillId="0" borderId="1" xfId="246" applyNumberFormat="1" applyFont="1" applyFill="1" applyBorder="1" applyAlignment="1" applyProtection="1">
      <alignment horizontal="right"/>
      <protection locked="0"/>
    </xf>
    <xf numFmtId="4" fontId="8" fillId="0" borderId="1" xfId="258" applyNumberFormat="1" applyFont="1" applyFill="1" applyBorder="1" applyAlignment="1"/>
    <xf numFmtId="0" fontId="8" fillId="0" borderId="1" xfId="258" applyFont="1" applyFill="1" applyBorder="1" applyAlignment="1">
      <alignment horizontal="justify" wrapText="1"/>
    </xf>
    <xf numFmtId="0" fontId="8" fillId="0" borderId="1" xfId="258" applyFont="1" applyFill="1" applyBorder="1" applyAlignment="1">
      <alignment horizontal="center" vertical="center"/>
    </xf>
    <xf numFmtId="4" fontId="8" fillId="0" borderId="1" xfId="246" applyNumberFormat="1" applyFont="1" applyFill="1" applyBorder="1" applyAlignment="1" applyProtection="1">
      <alignment horizontal="right" vertical="center"/>
      <protection locked="0"/>
    </xf>
    <xf numFmtId="4" fontId="8" fillId="0" borderId="1" xfId="258" applyNumberFormat="1" applyFont="1" applyFill="1" applyBorder="1" applyAlignment="1">
      <alignment vertical="center"/>
    </xf>
    <xf numFmtId="4" fontId="8" fillId="0" borderId="1" xfId="258" applyNumberFormat="1" applyFont="1" applyFill="1" applyBorder="1" applyAlignment="1">
      <alignment horizontal="right" vertical="center"/>
    </xf>
    <xf numFmtId="49" fontId="8" fillId="0" borderId="1" xfId="258" applyNumberFormat="1" applyFont="1" applyFill="1" applyBorder="1" applyAlignment="1">
      <alignment horizontal="right" vertical="center"/>
    </xf>
    <xf numFmtId="0" fontId="8" fillId="0" borderId="1" xfId="258" applyFont="1" applyFill="1" applyBorder="1" applyAlignment="1">
      <alignment horizontal="justify" vertical="center" wrapText="1"/>
    </xf>
    <xf numFmtId="4" fontId="10" fillId="0" borderId="1" xfId="258" applyNumberFormat="1" applyFont="1" applyFill="1" applyBorder="1" applyAlignment="1">
      <alignment horizontal="right" vertical="center"/>
    </xf>
    <xf numFmtId="0" fontId="10" fillId="0" borderId="1" xfId="258" applyFont="1" applyFill="1" applyBorder="1" applyAlignment="1">
      <alignment horizontal="center" vertical="center" wrapText="1"/>
    </xf>
    <xf numFmtId="0" fontId="8" fillId="0" borderId="1" xfId="258" applyFont="1" applyFill="1" applyBorder="1" applyAlignment="1">
      <alignment horizontal="left" wrapText="1"/>
    </xf>
    <xf numFmtId="0" fontId="8" fillId="0" borderId="1" xfId="258" applyFont="1" applyFill="1" applyBorder="1" applyAlignment="1">
      <alignment horizontal="right" vertical="center" wrapText="1"/>
    </xf>
    <xf numFmtId="0" fontId="10" fillId="0" borderId="1" xfId="258" applyFont="1" applyFill="1" applyBorder="1" applyAlignment="1">
      <alignment horizontal="right" vertical="center" wrapText="1"/>
    </xf>
    <xf numFmtId="0" fontId="8" fillId="0" borderId="1" xfId="1" applyFont="1" applyFill="1" applyBorder="1" applyAlignment="1">
      <alignment horizontal="center" vertical="center"/>
    </xf>
    <xf numFmtId="4" fontId="8" fillId="0" borderId="1" xfId="1" applyNumberFormat="1" applyFont="1" applyFill="1" applyBorder="1" applyAlignment="1">
      <alignment vertical="center"/>
    </xf>
    <xf numFmtId="4" fontId="8" fillId="0" borderId="1" xfId="1" applyNumberFormat="1" applyFont="1" applyFill="1" applyBorder="1" applyAlignment="1">
      <alignment horizontal="right" vertical="center"/>
    </xf>
    <xf numFmtId="4" fontId="8" fillId="0" borderId="1" xfId="258" applyNumberFormat="1" applyFont="1" applyFill="1" applyBorder="1" applyAlignment="1" applyProtection="1">
      <alignment horizontal="right" vertical="center"/>
      <protection locked="0"/>
    </xf>
    <xf numFmtId="0" fontId="8" fillId="0" borderId="1" xfId="1" applyFont="1" applyFill="1" applyBorder="1" applyAlignment="1">
      <alignment horizontal="right" vertical="center"/>
    </xf>
    <xf numFmtId="0" fontId="8" fillId="0" borderId="1" xfId="258" applyNumberFormat="1" applyFont="1" applyFill="1" applyBorder="1" applyAlignment="1">
      <alignment horizontal="right" vertical="center" wrapText="1"/>
    </xf>
    <xf numFmtId="0" fontId="8" fillId="0" borderId="1" xfId="258" applyNumberFormat="1" applyFont="1" applyFill="1" applyBorder="1" applyAlignment="1">
      <alignment horizontal="center" vertical="center"/>
    </xf>
    <xf numFmtId="0" fontId="10" fillId="0" borderId="1" xfId="258" applyNumberFormat="1" applyFont="1" applyFill="1" applyBorder="1" applyAlignment="1">
      <alignment horizontal="right" vertical="center" wrapText="1"/>
    </xf>
    <xf numFmtId="0" fontId="8" fillId="0" borderId="1" xfId="258" applyNumberFormat="1" applyFont="1" applyFill="1" applyBorder="1" applyAlignment="1">
      <alignment horizontal="left" wrapText="1"/>
    </xf>
    <xf numFmtId="4" fontId="8" fillId="0" borderId="1" xfId="258" applyNumberFormat="1" applyFont="1" applyFill="1" applyBorder="1" applyAlignment="1" applyProtection="1">
      <alignment vertical="center"/>
      <protection locked="0"/>
    </xf>
    <xf numFmtId="0" fontId="8" fillId="0" borderId="1" xfId="1" applyNumberFormat="1" applyFont="1" applyFill="1" applyBorder="1" applyAlignment="1">
      <alignment horizontal="center" vertical="center"/>
    </xf>
    <xf numFmtId="49" fontId="8" fillId="0" borderId="1" xfId="1" applyNumberFormat="1" applyFont="1" applyFill="1" applyBorder="1" applyAlignment="1">
      <alignment horizontal="right" vertical="center"/>
    </xf>
    <xf numFmtId="4" fontId="8" fillId="0" borderId="1" xfId="258" quotePrefix="1" applyNumberFormat="1" applyFont="1" applyFill="1" applyBorder="1" applyAlignment="1" applyProtection="1">
      <alignment horizontal="right" vertical="center"/>
      <protection locked="0"/>
    </xf>
    <xf numFmtId="0" fontId="8" fillId="0" borderId="1" xfId="246" applyFont="1" applyFill="1" applyBorder="1" applyAlignment="1">
      <alignment horizontal="left" wrapText="1"/>
    </xf>
    <xf numFmtId="0" fontId="8" fillId="0" borderId="1" xfId="246" applyFont="1" applyFill="1" applyBorder="1" applyAlignment="1">
      <alignment horizontal="center" vertical="center"/>
    </xf>
    <xf numFmtId="4" fontId="8" fillId="0" borderId="1" xfId="246" applyNumberFormat="1" applyFont="1" applyFill="1" applyBorder="1" applyAlignment="1">
      <alignment vertical="center"/>
    </xf>
    <xf numFmtId="0" fontId="8" fillId="0" borderId="1" xfId="246" applyNumberFormat="1" applyFont="1" applyFill="1" applyBorder="1" applyAlignment="1">
      <alignment horizontal="center" vertical="center"/>
    </xf>
    <xf numFmtId="0" fontId="8" fillId="0" borderId="1" xfId="1" applyFont="1" applyFill="1" applyBorder="1" applyAlignment="1">
      <alignment horizontal="left" wrapText="1"/>
    </xf>
    <xf numFmtId="4" fontId="8" fillId="0" borderId="1" xfId="1" applyNumberFormat="1" applyFont="1" applyFill="1" applyBorder="1" applyAlignment="1" applyProtection="1">
      <alignment vertical="center"/>
      <protection locked="0"/>
    </xf>
    <xf numFmtId="0" fontId="8" fillId="0" borderId="1" xfId="258" applyFont="1" applyFill="1" applyBorder="1" applyAlignment="1">
      <alignment horizontal="right" vertical="center"/>
    </xf>
    <xf numFmtId="0" fontId="10" fillId="0" borderId="1" xfId="1" applyNumberFormat="1" applyFont="1" applyFill="1" applyBorder="1" applyAlignment="1">
      <alignment horizontal="right" vertical="center" wrapText="1"/>
    </xf>
    <xf numFmtId="0" fontId="8" fillId="0" borderId="1" xfId="1" applyNumberFormat="1" applyFont="1" applyFill="1" applyBorder="1" applyAlignment="1">
      <alignment horizontal="left" wrapText="1"/>
    </xf>
    <xf numFmtId="4" fontId="8" fillId="0" borderId="1" xfId="1" applyNumberFormat="1" applyFont="1" applyFill="1" applyBorder="1" applyAlignment="1" applyProtection="1">
      <protection locked="0"/>
    </xf>
    <xf numFmtId="4" fontId="8" fillId="0" borderId="1" xfId="1" applyNumberFormat="1" applyFont="1" applyFill="1" applyBorder="1" applyAlignment="1"/>
    <xf numFmtId="0" fontId="10" fillId="0" borderId="1" xfId="1" applyFont="1" applyFill="1" applyBorder="1" applyAlignment="1">
      <alignment horizontal="center" wrapText="1"/>
    </xf>
    <xf numFmtId="0" fontId="8" fillId="0" borderId="1" xfId="1" applyFont="1" applyFill="1" applyBorder="1" applyAlignment="1">
      <alignment horizontal="center"/>
    </xf>
    <xf numFmtId="0" fontId="11" fillId="0" borderId="1" xfId="0" applyFont="1" applyBorder="1"/>
    <xf numFmtId="1" fontId="10" fillId="0" borderId="1" xfId="258" applyNumberFormat="1" applyFont="1" applyFill="1" applyBorder="1" applyAlignment="1">
      <alignment horizontal="center" vertical="center"/>
    </xf>
    <xf numFmtId="0" fontId="10" fillId="0" borderId="1" xfId="258" applyFont="1" applyFill="1" applyBorder="1" applyAlignment="1">
      <alignment horizontal="justify" vertical="center" wrapText="1"/>
    </xf>
    <xf numFmtId="0" fontId="10" fillId="0" borderId="1" xfId="258" applyFont="1" applyFill="1" applyBorder="1" applyAlignment="1">
      <alignment horizontal="center" vertical="center"/>
    </xf>
    <xf numFmtId="4" fontId="10" fillId="0" borderId="1" xfId="258" applyNumberFormat="1" applyFont="1" applyFill="1" applyBorder="1" applyAlignment="1" applyProtection="1">
      <alignment vertical="center"/>
      <protection locked="0"/>
    </xf>
    <xf numFmtId="1" fontId="8" fillId="0" borderId="1" xfId="258" applyNumberFormat="1" applyFont="1" applyFill="1" applyBorder="1" applyAlignment="1">
      <alignment horizontal="center" vertical="center"/>
    </xf>
    <xf numFmtId="169" fontId="8" fillId="0" borderId="1" xfId="258" applyNumberFormat="1" applyFont="1" applyFill="1" applyBorder="1" applyAlignment="1">
      <alignment horizontal="right" vertical="center"/>
    </xf>
    <xf numFmtId="4" fontId="8" fillId="0" borderId="1" xfId="1" applyNumberFormat="1" applyFont="1" applyFill="1" applyBorder="1" applyAlignment="1" applyProtection="1">
      <alignment horizontal="right" vertical="center"/>
      <protection locked="0"/>
    </xf>
    <xf numFmtId="0" fontId="10" fillId="0" borderId="1" xfId="258" applyFont="1" applyFill="1" applyBorder="1" applyAlignment="1">
      <alignment horizontal="left" wrapText="1"/>
    </xf>
    <xf numFmtId="0" fontId="10" fillId="0" borderId="1" xfId="258" applyFont="1" applyFill="1" applyBorder="1" applyAlignment="1">
      <alignment horizontal="left" vertical="center" wrapText="1"/>
    </xf>
    <xf numFmtId="4" fontId="10" fillId="0" borderId="1" xfId="258" applyNumberFormat="1" applyFont="1" applyFill="1" applyBorder="1" applyAlignment="1">
      <alignment vertical="center"/>
    </xf>
    <xf numFmtId="1" fontId="8" fillId="0" borderId="1" xfId="1" applyNumberFormat="1" applyFont="1" applyFill="1" applyBorder="1" applyAlignment="1">
      <alignment horizontal="center" vertical="center"/>
    </xf>
    <xf numFmtId="0" fontId="10" fillId="0" borderId="1" xfId="1" applyFont="1" applyFill="1" applyBorder="1" applyAlignment="1">
      <alignment horizontal="center" vertical="center" wrapText="1"/>
    </xf>
    <xf numFmtId="169" fontId="8" fillId="0" borderId="1" xfId="258" applyNumberFormat="1" applyFont="1" applyFill="1" applyBorder="1" applyAlignment="1">
      <alignment horizontal="center" vertical="center"/>
    </xf>
    <xf numFmtId="4" fontId="10" fillId="0" borderId="1" xfId="1" applyNumberFormat="1" applyFont="1" applyFill="1" applyBorder="1" applyAlignment="1">
      <alignment vertical="center"/>
    </xf>
    <xf numFmtId="1" fontId="10" fillId="0" borderId="1" xfId="1" applyNumberFormat="1" applyFont="1" applyFill="1" applyBorder="1" applyAlignment="1">
      <alignment horizontal="center" vertical="center"/>
    </xf>
    <xf numFmtId="0" fontId="8" fillId="0" borderId="1" xfId="258" applyNumberFormat="1" applyFont="1" applyFill="1" applyBorder="1" applyAlignment="1">
      <alignment horizontal="right" vertical="center"/>
    </xf>
    <xf numFmtId="0" fontId="8" fillId="0" borderId="1" xfId="1" applyFont="1" applyFill="1" applyBorder="1" applyAlignment="1">
      <alignment horizontal="justify" vertical="center" wrapText="1"/>
    </xf>
    <xf numFmtId="4" fontId="8" fillId="0" borderId="1" xfId="246" applyNumberFormat="1" applyFont="1" applyFill="1" applyBorder="1" applyAlignment="1">
      <alignment horizontal="right" vertical="center"/>
    </xf>
    <xf numFmtId="0" fontId="8" fillId="0" borderId="1" xfId="1" applyFont="1" applyFill="1" applyBorder="1" applyAlignment="1">
      <alignment horizontal="left" vertical="center" wrapText="1"/>
    </xf>
    <xf numFmtId="0" fontId="8" fillId="0" borderId="1" xfId="1" applyFont="1" applyFill="1" applyBorder="1" applyAlignment="1">
      <alignment horizontal="justify" vertical="center"/>
    </xf>
    <xf numFmtId="0" fontId="10" fillId="0" borderId="1" xfId="1" applyFont="1" applyFill="1" applyBorder="1" applyAlignment="1">
      <alignment horizontal="right" vertical="center" wrapText="1"/>
    </xf>
    <xf numFmtId="4" fontId="10" fillId="0" borderId="1" xfId="1" applyNumberFormat="1" applyFont="1" applyFill="1" applyBorder="1" applyAlignment="1">
      <alignment horizontal="right" vertical="center"/>
    </xf>
    <xf numFmtId="1" fontId="10" fillId="0" borderId="1" xfId="246" applyNumberFormat="1" applyFont="1" applyFill="1" applyBorder="1" applyAlignment="1">
      <alignment horizontal="center" vertical="center"/>
    </xf>
    <xf numFmtId="0" fontId="8" fillId="0" borderId="1" xfId="246" applyFont="1" applyFill="1" applyBorder="1" applyAlignment="1">
      <alignment horizontal="justify" vertical="center" wrapText="1"/>
    </xf>
    <xf numFmtId="1" fontId="8" fillId="0" borderId="1" xfId="246" applyNumberFormat="1" applyFont="1" applyFill="1" applyBorder="1" applyAlignment="1">
      <alignment horizontal="center" vertical="center"/>
    </xf>
    <xf numFmtId="1" fontId="8" fillId="0" borderId="1" xfId="246" applyNumberFormat="1" applyFont="1" applyFill="1" applyBorder="1" applyAlignment="1">
      <alignment horizontal="center"/>
    </xf>
    <xf numFmtId="0" fontId="8" fillId="0" borderId="1" xfId="246" applyFont="1" applyFill="1" applyBorder="1" applyAlignment="1">
      <alignment horizontal="right" vertical="center" wrapText="1"/>
    </xf>
    <xf numFmtId="1" fontId="10" fillId="0" borderId="1" xfId="258" applyNumberFormat="1" applyFont="1" applyFill="1" applyBorder="1" applyAlignment="1">
      <alignment horizontal="center"/>
    </xf>
    <xf numFmtId="1" fontId="8" fillId="0" borderId="1" xfId="258" applyNumberFormat="1" applyFont="1" applyFill="1" applyBorder="1" applyAlignment="1">
      <alignment horizontal="center"/>
    </xf>
    <xf numFmtId="49" fontId="8" fillId="0" borderId="1" xfId="258" applyNumberFormat="1" applyFont="1" applyFill="1" applyBorder="1" applyAlignment="1">
      <alignment horizontal="right" vertical="center" wrapText="1"/>
    </xf>
    <xf numFmtId="0" fontId="10" fillId="0" borderId="1" xfId="258" applyFont="1" applyFill="1" applyBorder="1" applyAlignment="1">
      <alignment horizontal="right" vertical="center"/>
    </xf>
    <xf numFmtId="4" fontId="10" fillId="0" borderId="1" xfId="258" applyNumberFormat="1" applyFont="1" applyFill="1" applyBorder="1" applyAlignment="1" applyProtection="1">
      <alignment horizontal="right" vertical="center"/>
      <protection locked="0"/>
    </xf>
    <xf numFmtId="2" fontId="8" fillId="0" borderId="1" xfId="258" applyNumberFormat="1" applyFont="1" applyFill="1" applyBorder="1" applyAlignment="1">
      <alignment horizontal="center" vertical="center"/>
    </xf>
    <xf numFmtId="4" fontId="11" fillId="0" borderId="1" xfId="1" applyNumberFormat="1" applyFont="1" applyFill="1" applyBorder="1" applyAlignment="1">
      <alignment horizontal="right" vertical="center"/>
    </xf>
    <xf numFmtId="0" fontId="10" fillId="0" borderId="1" xfId="1" applyFont="1" applyFill="1" applyBorder="1" applyAlignment="1">
      <alignment horizontal="right" vertical="center"/>
    </xf>
    <xf numFmtId="4" fontId="8" fillId="0" borderId="1" xfId="1" applyNumberFormat="1" applyFont="1" applyBorder="1" applyAlignment="1">
      <alignment horizontal="right" vertical="center"/>
    </xf>
    <xf numFmtId="0" fontId="8" fillId="0" borderId="1" xfId="1" applyFont="1" applyFill="1" applyBorder="1" applyAlignment="1">
      <alignment horizontal="left"/>
    </xf>
    <xf numFmtId="4" fontId="11" fillId="0" borderId="1" xfId="1" applyNumberFormat="1" applyFont="1" applyFill="1" applyBorder="1" applyAlignment="1" applyProtection="1">
      <alignment horizontal="right" vertical="center"/>
      <protection locked="0"/>
    </xf>
    <xf numFmtId="49" fontId="8" fillId="0" borderId="1" xfId="1" applyNumberFormat="1" applyFont="1" applyFill="1" applyBorder="1" applyAlignment="1">
      <alignment horizontal="right" vertical="center" wrapText="1"/>
    </xf>
    <xf numFmtId="0" fontId="8" fillId="0" borderId="1" xfId="258" applyNumberFormat="1" applyFont="1" applyFill="1" applyBorder="1" applyAlignment="1">
      <alignment horizontal="left" vertical="center" wrapText="1"/>
    </xf>
    <xf numFmtId="0" fontId="8" fillId="0" borderId="1" xfId="1" applyFont="1" applyBorder="1" applyAlignment="1">
      <alignment horizontal="center"/>
    </xf>
    <xf numFmtId="0" fontId="8" fillId="0" borderId="1" xfId="1" applyFont="1" applyBorder="1" applyAlignment="1"/>
    <xf numFmtId="0" fontId="8" fillId="0" borderId="1" xfId="1" applyFont="1" applyFill="1" applyBorder="1" applyAlignment="1">
      <alignment horizontal="right" vertical="center" wrapText="1"/>
    </xf>
    <xf numFmtId="1" fontId="8" fillId="0" borderId="1" xfId="1" applyNumberFormat="1" applyFont="1" applyFill="1" applyBorder="1" applyAlignment="1">
      <alignment horizontal="center"/>
    </xf>
    <xf numFmtId="0" fontId="11" fillId="0" borderId="0" xfId="0" applyFont="1"/>
    <xf numFmtId="0" fontId="8" fillId="2" borderId="0" xfId="0" applyFont="1" applyFill="1" applyAlignment="1"/>
    <xf numFmtId="0" fontId="8" fillId="2" borderId="0" xfId="0" applyNumberFormat="1" applyFont="1" applyFill="1" applyAlignment="1">
      <alignment horizontal="center"/>
    </xf>
    <xf numFmtId="0" fontId="10" fillId="2" borderId="0" xfId="0" applyNumberFormat="1" applyFont="1" applyFill="1" applyAlignment="1">
      <alignment horizontal="center"/>
    </xf>
    <xf numFmtId="173" fontId="8" fillId="2" borderId="0" xfId="449" applyFont="1" applyFill="1" applyBorder="1" applyAlignment="1"/>
    <xf numFmtId="0" fontId="10" fillId="2" borderId="0" xfId="0" applyNumberFormat="1" applyFont="1" applyFill="1" applyAlignment="1">
      <alignment horizontal="left"/>
    </xf>
    <xf numFmtId="4" fontId="10" fillId="2" borderId="0" xfId="448" applyNumberFormat="1" applyFont="1" applyFill="1" applyBorder="1" applyAlignment="1"/>
    <xf numFmtId="173" fontId="9" fillId="2" borderId="0" xfId="449" applyFont="1" applyFill="1" applyBorder="1" applyAlignment="1"/>
    <xf numFmtId="0" fontId="8" fillId="2" borderId="0" xfId="0" applyNumberFormat="1" applyFont="1" applyFill="1" applyBorder="1" applyAlignment="1">
      <alignment horizontal="center"/>
    </xf>
    <xf numFmtId="0" fontId="10" fillId="2" borderId="0" xfId="0" applyNumberFormat="1" applyFont="1" applyFill="1" applyBorder="1" applyAlignment="1">
      <alignment horizontal="left"/>
    </xf>
    <xf numFmtId="0" fontId="10" fillId="2" borderId="0" xfId="0" applyFont="1" applyFill="1" applyBorder="1" applyAlignment="1">
      <alignment horizontal="left"/>
    </xf>
    <xf numFmtId="0" fontId="10" fillId="2" borderId="0" xfId="0" applyNumberFormat="1" applyFont="1" applyFill="1" applyBorder="1" applyAlignment="1">
      <alignment horizontal="center"/>
    </xf>
    <xf numFmtId="49" fontId="8" fillId="2" borderId="0" xfId="0" applyNumberFormat="1" applyFont="1" applyFill="1" applyBorder="1" applyAlignment="1">
      <alignment wrapText="1"/>
    </xf>
    <xf numFmtId="49" fontId="10" fillId="2" borderId="0" xfId="0" applyNumberFormat="1" applyFont="1" applyFill="1" applyBorder="1" applyAlignment="1">
      <alignment wrapText="1"/>
    </xf>
    <xf numFmtId="0" fontId="8" fillId="2" borderId="0" xfId="0" applyFont="1" applyFill="1" applyBorder="1" applyAlignment="1">
      <alignment horizontal="center"/>
    </xf>
    <xf numFmtId="173" fontId="10" fillId="4" borderId="0" xfId="449" applyFont="1" applyFill="1" applyBorder="1" applyAlignment="1" applyProtection="1">
      <alignment horizontal="center"/>
    </xf>
    <xf numFmtId="4" fontId="10" fillId="4" borderId="0" xfId="448" applyNumberFormat="1" applyFont="1" applyFill="1" applyBorder="1" applyAlignment="1" applyProtection="1">
      <alignment horizontal="center"/>
    </xf>
    <xf numFmtId="173" fontId="17" fillId="4" borderId="0" xfId="449" applyFont="1" applyFill="1" applyBorder="1" applyAlignment="1" applyProtection="1">
      <alignment horizontal="center"/>
    </xf>
    <xf numFmtId="173" fontId="8" fillId="4" borderId="0" xfId="449" applyFont="1" applyFill="1" applyBorder="1" applyAlignment="1" applyProtection="1">
      <alignment horizontal="center"/>
    </xf>
    <xf numFmtId="0" fontId="12" fillId="6" borderId="1" xfId="0" applyFont="1" applyFill="1" applyBorder="1"/>
    <xf numFmtId="0" fontId="11" fillId="6" borderId="1" xfId="0" applyFont="1" applyFill="1" applyBorder="1"/>
    <xf numFmtId="0" fontId="10" fillId="0" borderId="1" xfId="1" applyFont="1" applyFill="1" applyBorder="1" applyAlignment="1">
      <alignment horizontal="right" wrapText="1"/>
    </xf>
    <xf numFmtId="0" fontId="10" fillId="0" borderId="1" xfId="246" applyFont="1" applyFill="1" applyBorder="1" applyAlignment="1">
      <alignment horizontal="right" wrapText="1"/>
    </xf>
    <xf numFmtId="0" fontId="10" fillId="0" borderId="1" xfId="246" applyFont="1" applyFill="1" applyBorder="1" applyAlignment="1">
      <alignment horizontal="right" vertical="center" wrapText="1"/>
    </xf>
    <xf numFmtId="4" fontId="8" fillId="0" borderId="1" xfId="213" applyNumberFormat="1" applyFont="1" applyFill="1" applyBorder="1" applyAlignment="1">
      <alignment vertical="center" wrapText="1"/>
    </xf>
    <xf numFmtId="0" fontId="8" fillId="0" borderId="1" xfId="1" applyFont="1" applyFill="1" applyBorder="1" applyAlignment="1">
      <alignment wrapText="1"/>
    </xf>
    <xf numFmtId="0" fontId="8" fillId="0" borderId="1" xfId="246" applyFont="1" applyFill="1" applyBorder="1" applyAlignment="1">
      <alignment horizontal="left" vertical="center" wrapText="1"/>
    </xf>
    <xf numFmtId="0" fontId="8" fillId="0" borderId="1" xfId="245" applyFont="1" applyFill="1" applyBorder="1" applyAlignment="1">
      <alignment horizontal="justify" vertical="center" wrapText="1"/>
    </xf>
    <xf numFmtId="49" fontId="8" fillId="0" borderId="1" xfId="245" applyNumberFormat="1" applyFont="1" applyFill="1" applyBorder="1" applyAlignment="1">
      <alignment horizontal="right" vertical="center"/>
    </xf>
    <xf numFmtId="0" fontId="8" fillId="0" borderId="1" xfId="245" applyFont="1" applyFill="1" applyBorder="1" applyAlignment="1">
      <alignment horizontal="left" vertical="center" wrapText="1"/>
    </xf>
    <xf numFmtId="0" fontId="8" fillId="0" borderId="1" xfId="245" applyFont="1" applyFill="1" applyBorder="1" applyAlignment="1">
      <alignment horizontal="center" vertical="center"/>
    </xf>
    <xf numFmtId="4" fontId="8" fillId="0" borderId="1" xfId="245" applyNumberFormat="1" applyFont="1" applyFill="1" applyBorder="1" applyAlignment="1">
      <alignment horizontal="right" vertical="center"/>
    </xf>
    <xf numFmtId="4" fontId="8" fillId="0" borderId="1" xfId="245" applyNumberFormat="1" applyFont="1" applyFill="1" applyBorder="1" applyAlignment="1" applyProtection="1">
      <alignment horizontal="right" vertical="center"/>
      <protection locked="0"/>
    </xf>
    <xf numFmtId="1" fontId="10" fillId="0" borderId="1" xfId="245" applyNumberFormat="1" applyFont="1" applyFill="1" applyBorder="1" applyAlignment="1">
      <alignment horizontal="center" vertical="center"/>
    </xf>
    <xf numFmtId="0" fontId="10" fillId="0" borderId="1" xfId="245" applyFont="1" applyFill="1" applyBorder="1" applyAlignment="1">
      <alignment horizontal="right" vertical="center" wrapText="1"/>
    </xf>
    <xf numFmtId="0" fontId="10" fillId="0" borderId="1" xfId="245" applyFont="1" applyFill="1" applyBorder="1" applyAlignment="1">
      <alignment horizontal="justify" vertical="center" wrapText="1"/>
    </xf>
    <xf numFmtId="4" fontId="10" fillId="0" borderId="1" xfId="245" applyNumberFormat="1" applyFont="1" applyFill="1" applyBorder="1" applyAlignment="1">
      <alignment horizontal="right" vertical="center"/>
    </xf>
    <xf numFmtId="1" fontId="8" fillId="0" borderId="1" xfId="245" applyNumberFormat="1" applyFont="1" applyFill="1" applyBorder="1" applyAlignment="1">
      <alignment horizontal="center" vertical="center"/>
    </xf>
    <xf numFmtId="0" fontId="10" fillId="0" borderId="1" xfId="245" applyFont="1" applyFill="1" applyBorder="1" applyAlignment="1">
      <alignment horizontal="center" vertical="center" wrapText="1"/>
    </xf>
    <xf numFmtId="0" fontId="10" fillId="0" borderId="1" xfId="246" applyFont="1" applyFill="1" applyBorder="1" applyAlignment="1">
      <alignment horizontal="center" vertical="center" wrapText="1"/>
    </xf>
    <xf numFmtId="0" fontId="8" fillId="0" borderId="1" xfId="258" applyFont="1" applyFill="1" applyBorder="1" applyAlignment="1">
      <alignment horizontal="justify" vertical="center"/>
    </xf>
    <xf numFmtId="0" fontId="8" fillId="0" borderId="1" xfId="258" applyFont="1" applyFill="1" applyBorder="1" applyAlignment="1">
      <alignment horizontal="left" vertical="center" wrapText="1"/>
    </xf>
    <xf numFmtId="4" fontId="8" fillId="0" borderId="1" xfId="12" applyNumberFormat="1" applyFont="1" applyFill="1" applyBorder="1" applyAlignment="1">
      <alignment vertical="center"/>
    </xf>
    <xf numFmtId="4" fontId="8" fillId="0" borderId="1" xfId="213" applyNumberFormat="1" applyFont="1" applyFill="1" applyBorder="1" applyAlignment="1">
      <alignment horizontal="center" vertical="center" wrapText="1"/>
    </xf>
    <xf numFmtId="171" fontId="8" fillId="0" borderId="1" xfId="258" applyNumberFormat="1" applyFont="1" applyFill="1" applyBorder="1" applyAlignment="1">
      <alignment vertical="center"/>
    </xf>
    <xf numFmtId="0" fontId="8" fillId="0" borderId="1" xfId="235" applyFont="1" applyFill="1" applyBorder="1" applyAlignment="1">
      <alignment vertical="center" wrapText="1"/>
    </xf>
    <xf numFmtId="2" fontId="8" fillId="0" borderId="1" xfId="12" applyNumberFormat="1" applyFont="1" applyFill="1" applyBorder="1" applyAlignment="1" applyProtection="1">
      <alignment horizontal="right" vertical="center"/>
      <protection locked="0"/>
    </xf>
    <xf numFmtId="0" fontId="8" fillId="0" borderId="1" xfId="246" applyFont="1" applyFill="1" applyBorder="1" applyAlignment="1">
      <alignment horizontal="left" vertical="center"/>
    </xf>
    <xf numFmtId="0" fontId="8" fillId="0" borderId="1" xfId="1" applyFont="1" applyFill="1" applyBorder="1" applyAlignment="1">
      <alignment horizontal="left" vertical="center"/>
    </xf>
    <xf numFmtId="1" fontId="8" fillId="0" borderId="1" xfId="258" applyNumberFormat="1" applyFont="1" applyBorder="1" applyAlignment="1">
      <alignment horizontal="center" vertical="center"/>
    </xf>
    <xf numFmtId="4" fontId="8" fillId="0" borderId="1" xfId="246" applyNumberFormat="1" applyFont="1" applyFill="1" applyBorder="1" applyAlignment="1" applyProtection="1">
      <alignment vertical="center"/>
      <protection locked="0"/>
    </xf>
    <xf numFmtId="0" fontId="8" fillId="0" borderId="1" xfId="246" applyFont="1" applyFill="1" applyBorder="1" applyAlignment="1">
      <alignment horizontal="center"/>
    </xf>
    <xf numFmtId="4" fontId="8" fillId="0" borderId="1" xfId="246" applyNumberFormat="1" applyFont="1" applyFill="1" applyBorder="1" applyProtection="1">
      <protection locked="0"/>
    </xf>
    <xf numFmtId="0" fontId="8" fillId="0" borderId="1" xfId="245" applyFont="1" applyFill="1" applyBorder="1" applyAlignment="1">
      <alignment horizontal="left" wrapText="1"/>
    </xf>
    <xf numFmtId="0" fontId="8" fillId="0" borderId="1" xfId="245" applyFont="1" applyFill="1" applyBorder="1" applyAlignment="1">
      <alignment wrapText="1"/>
    </xf>
    <xf numFmtId="1" fontId="8" fillId="0" borderId="1" xfId="213" applyNumberFormat="1" applyFont="1" applyFill="1" applyBorder="1" applyAlignment="1">
      <alignment horizontal="center" vertical="center"/>
    </xf>
    <xf numFmtId="4" fontId="8" fillId="0" borderId="1" xfId="213" applyNumberFormat="1" applyFont="1" applyFill="1" applyBorder="1" applyAlignment="1">
      <alignment horizontal="right" vertical="center"/>
    </xf>
    <xf numFmtId="0" fontId="8" fillId="0" borderId="1" xfId="245" applyFont="1" applyFill="1" applyBorder="1" applyAlignment="1">
      <alignment horizontal="right" vertical="center"/>
    </xf>
    <xf numFmtId="4" fontId="8" fillId="0" borderId="1" xfId="235" applyNumberFormat="1" applyFont="1" applyBorder="1" applyAlignment="1" applyProtection="1">
      <alignment horizontal="right" vertical="center"/>
      <protection locked="0"/>
    </xf>
    <xf numFmtId="4" fontId="8" fillId="0" borderId="1" xfId="235" applyNumberFormat="1" applyFont="1" applyFill="1" applyBorder="1" applyAlignment="1">
      <alignment horizontal="right" vertical="center"/>
    </xf>
    <xf numFmtId="1" fontId="8" fillId="0" borderId="1" xfId="235" applyNumberFormat="1" applyFont="1" applyBorder="1" applyAlignment="1">
      <alignment horizontal="center" vertical="center"/>
    </xf>
    <xf numFmtId="0" fontId="8" fillId="0" borderId="1" xfId="235" applyNumberFormat="1" applyFont="1" applyBorder="1" applyAlignment="1">
      <alignment horizontal="right" vertical="center" wrapText="1"/>
    </xf>
    <xf numFmtId="0" fontId="8" fillId="0" borderId="1" xfId="235" applyNumberFormat="1" applyFont="1" applyBorder="1" applyAlignment="1">
      <alignment horizontal="center" vertical="center"/>
    </xf>
    <xf numFmtId="1" fontId="10" fillId="0" borderId="1" xfId="235" applyNumberFormat="1" applyFont="1" applyFill="1" applyBorder="1" applyAlignment="1">
      <alignment horizontal="center" vertical="center"/>
    </xf>
    <xf numFmtId="0" fontId="8" fillId="0" borderId="1" xfId="235" applyFont="1" applyFill="1" applyBorder="1" applyAlignment="1">
      <alignment horizontal="right" vertical="center" wrapText="1"/>
    </xf>
    <xf numFmtId="0" fontId="8" fillId="0" borderId="1" xfId="235" applyFont="1" applyFill="1" applyBorder="1" applyAlignment="1">
      <alignment horizontal="center" vertical="center"/>
    </xf>
    <xf numFmtId="1" fontId="8" fillId="0" borderId="1" xfId="235" applyNumberFormat="1" applyFont="1" applyFill="1" applyBorder="1" applyAlignment="1">
      <alignment horizontal="center" vertical="center"/>
    </xf>
    <xf numFmtId="0" fontId="8" fillId="0" borderId="1" xfId="235" applyFont="1" applyFill="1" applyBorder="1" applyAlignment="1">
      <alignment horizontal="right" vertical="center"/>
    </xf>
    <xf numFmtId="0" fontId="8" fillId="0" borderId="1" xfId="235" applyNumberFormat="1" applyFont="1" applyFill="1" applyBorder="1" applyAlignment="1">
      <alignment horizontal="center" vertical="center"/>
    </xf>
    <xf numFmtId="4" fontId="8" fillId="0" borderId="1" xfId="235" applyNumberFormat="1" applyFont="1" applyFill="1" applyBorder="1" applyAlignment="1" applyProtection="1">
      <alignment horizontal="right" vertical="center"/>
      <protection locked="0"/>
    </xf>
    <xf numFmtId="0" fontId="8" fillId="0" borderId="1" xfId="245" applyFont="1" applyFill="1" applyBorder="1" applyAlignment="1">
      <alignment horizontal="justify" vertical="center"/>
    </xf>
    <xf numFmtId="0" fontId="8" fillId="0" borderId="1" xfId="245" applyFont="1" applyFill="1" applyBorder="1" applyAlignment="1">
      <alignment horizontal="left" vertical="center"/>
    </xf>
    <xf numFmtId="4" fontId="8" fillId="0" borderId="1" xfId="245" applyNumberFormat="1" applyFont="1" applyFill="1" applyBorder="1" applyAlignment="1">
      <alignment vertical="center"/>
    </xf>
    <xf numFmtId="4" fontId="8" fillId="0" borderId="1" xfId="245" applyNumberFormat="1" applyFont="1" applyFill="1" applyBorder="1" applyAlignment="1" applyProtection="1">
      <alignment vertical="center"/>
      <protection locked="0"/>
    </xf>
    <xf numFmtId="0" fontId="8" fillId="0" borderId="1" xfId="235" applyFont="1" applyFill="1" applyBorder="1" applyAlignment="1">
      <alignment horizontal="justify" vertical="center"/>
    </xf>
    <xf numFmtId="4" fontId="8" fillId="0" borderId="1" xfId="213" applyNumberFormat="1" applyFont="1" applyFill="1" applyBorder="1" applyAlignment="1">
      <alignment vertical="center"/>
    </xf>
    <xf numFmtId="4" fontId="10" fillId="0" borderId="1" xfId="245" applyNumberFormat="1" applyFont="1" applyFill="1" applyBorder="1" applyAlignment="1">
      <alignment vertical="center"/>
    </xf>
    <xf numFmtId="0" fontId="8" fillId="0" borderId="1" xfId="245" applyFont="1" applyFill="1" applyBorder="1" applyAlignment="1">
      <alignment vertical="center" wrapText="1"/>
    </xf>
    <xf numFmtId="0" fontId="8" fillId="0" borderId="1" xfId="1" applyNumberFormat="1" applyFont="1" applyFill="1" applyBorder="1" applyAlignment="1">
      <alignment horizontal="left" vertical="center" wrapText="1"/>
    </xf>
    <xf numFmtId="0" fontId="10" fillId="0" borderId="1" xfId="1" applyFont="1" applyFill="1" applyBorder="1" applyAlignment="1">
      <alignment horizontal="justify" vertical="center" wrapText="1"/>
    </xf>
    <xf numFmtId="0" fontId="10" fillId="0" borderId="1" xfId="1" applyFont="1" applyFill="1" applyBorder="1" applyAlignment="1">
      <alignment horizontal="left" vertical="center" wrapText="1"/>
    </xf>
    <xf numFmtId="0" fontId="8" fillId="0" borderId="1" xfId="1" applyFont="1" applyFill="1" applyBorder="1" applyAlignment="1">
      <alignment vertical="center"/>
    </xf>
    <xf numFmtId="1" fontId="13" fillId="0" borderId="1" xfId="258" applyNumberFormat="1" applyFont="1" applyFill="1" applyBorder="1" applyAlignment="1">
      <alignment horizontal="center" vertical="center"/>
    </xf>
    <xf numFmtId="4" fontId="8" fillId="0" borderId="1" xfId="235" applyNumberFormat="1" applyFont="1" applyFill="1" applyBorder="1" applyAlignment="1">
      <alignment vertical="center"/>
    </xf>
    <xf numFmtId="0" fontId="8" fillId="0" borderId="1" xfId="235" applyFont="1" applyFill="1" applyBorder="1" applyAlignment="1">
      <alignment horizontal="justify" vertical="center" wrapText="1"/>
    </xf>
    <xf numFmtId="49" fontId="8" fillId="0" borderId="1" xfId="235" applyNumberFormat="1" applyFont="1" applyFill="1" applyBorder="1" applyAlignment="1">
      <alignment horizontal="right" vertical="center" wrapText="1"/>
    </xf>
    <xf numFmtId="4" fontId="8" fillId="0" borderId="1" xfId="235" applyNumberFormat="1" applyFont="1" applyFill="1" applyBorder="1" applyAlignment="1" applyProtection="1">
      <alignment vertical="center"/>
      <protection locked="0"/>
    </xf>
    <xf numFmtId="49" fontId="10" fillId="0" borderId="1" xfId="258" applyNumberFormat="1" applyFont="1" applyFill="1" applyBorder="1" applyAlignment="1">
      <alignment horizontal="right" vertical="center"/>
    </xf>
    <xf numFmtId="0" fontId="10" fillId="0" borderId="1" xfId="235" applyNumberFormat="1" applyFont="1" applyFill="1" applyBorder="1" applyAlignment="1">
      <alignment horizontal="center" vertical="center"/>
    </xf>
    <xf numFmtId="4" fontId="10" fillId="0" borderId="1" xfId="235" applyNumberFormat="1" applyFont="1" applyFill="1" applyBorder="1" applyAlignment="1" applyProtection="1">
      <alignment vertical="center"/>
      <protection locked="0"/>
    </xf>
    <xf numFmtId="0" fontId="8" fillId="0" borderId="1" xfId="235" applyFont="1" applyFill="1" applyBorder="1" applyAlignment="1">
      <alignment horizontal="left" vertical="center" wrapText="1"/>
    </xf>
    <xf numFmtId="0" fontId="10" fillId="0" borderId="1" xfId="245" applyFont="1" applyFill="1" applyBorder="1" applyAlignment="1">
      <alignment horizontal="left" vertical="center" wrapText="1"/>
    </xf>
    <xf numFmtId="0" fontId="10" fillId="0" borderId="1" xfId="235" applyFont="1" applyFill="1" applyBorder="1" applyAlignment="1">
      <alignment horizontal="center" vertical="center"/>
    </xf>
    <xf numFmtId="4" fontId="10" fillId="0" borderId="1" xfId="246" applyNumberFormat="1" applyFont="1" applyFill="1" applyBorder="1" applyAlignment="1" applyProtection="1">
      <alignment horizontal="right" vertical="center"/>
      <protection locked="0"/>
    </xf>
    <xf numFmtId="0" fontId="8" fillId="0" borderId="1" xfId="248" applyFont="1" applyFill="1" applyBorder="1" applyAlignment="1">
      <alignment horizontal="left" vertical="center" wrapText="1"/>
    </xf>
    <xf numFmtId="0" fontId="10" fillId="0" borderId="1" xfId="235" applyFont="1" applyFill="1" applyBorder="1" applyAlignment="1">
      <alignment horizontal="left" vertical="center" wrapText="1"/>
    </xf>
    <xf numFmtId="0" fontId="10" fillId="0" borderId="1" xfId="235" applyFont="1" applyFill="1" applyBorder="1" applyAlignment="1">
      <alignment horizontal="center" vertical="center" wrapText="1"/>
    </xf>
    <xf numFmtId="0" fontId="10" fillId="0" borderId="1" xfId="1" applyFont="1" applyBorder="1" applyAlignment="1">
      <alignment horizontal="center" vertical="center"/>
    </xf>
    <xf numFmtId="0" fontId="8" fillId="0" borderId="1" xfId="1" applyFont="1" applyBorder="1" applyAlignment="1">
      <alignment horizontal="right" vertical="center"/>
    </xf>
    <xf numFmtId="2" fontId="8" fillId="0" borderId="1" xfId="1" applyNumberFormat="1" applyFont="1" applyBorder="1" applyAlignment="1">
      <alignment horizontal="right" vertical="center"/>
    </xf>
    <xf numFmtId="0" fontId="8" fillId="0" borderId="1" xfId="1" applyFont="1" applyBorder="1" applyAlignment="1">
      <alignment horizontal="center" vertical="center"/>
    </xf>
    <xf numFmtId="49" fontId="8" fillId="0" borderId="1" xfId="1" applyNumberFormat="1" applyFont="1" applyBorder="1" applyAlignment="1">
      <alignment horizontal="right" vertical="center"/>
    </xf>
    <xf numFmtId="2" fontId="8" fillId="0" borderId="1" xfId="258" applyNumberFormat="1" applyFont="1" applyFill="1" applyBorder="1" applyAlignment="1" applyProtection="1">
      <alignment horizontal="right" vertical="center"/>
      <protection locked="0"/>
    </xf>
    <xf numFmtId="2" fontId="8" fillId="0" borderId="1" xfId="258" applyNumberFormat="1" applyFont="1" applyFill="1" applyBorder="1" applyAlignment="1">
      <alignment horizontal="right" vertical="center"/>
    </xf>
    <xf numFmtId="0" fontId="10" fillId="0" borderId="1" xfId="1" applyFont="1" applyBorder="1" applyAlignment="1">
      <alignment horizontal="left" wrapText="1"/>
    </xf>
    <xf numFmtId="169" fontId="10" fillId="0" borderId="1" xfId="258" applyNumberFormat="1" applyFont="1" applyFill="1" applyBorder="1" applyAlignment="1">
      <alignment horizontal="right" vertical="center"/>
    </xf>
    <xf numFmtId="169" fontId="8" fillId="0" borderId="1" xfId="258" applyNumberFormat="1" applyFont="1" applyFill="1" applyBorder="1" applyAlignment="1">
      <alignment horizontal="right" vertical="center" wrapText="1"/>
    </xf>
    <xf numFmtId="0" fontId="10" fillId="0" borderId="1" xfId="1" applyFont="1" applyFill="1" applyBorder="1" applyAlignment="1">
      <alignment horizontal="center" vertical="center"/>
    </xf>
    <xf numFmtId="4" fontId="10" fillId="0" borderId="1" xfId="1" applyNumberFormat="1" applyFont="1" applyFill="1" applyBorder="1" applyAlignment="1" applyProtection="1">
      <alignment vertical="center"/>
      <protection locked="0"/>
    </xf>
    <xf numFmtId="1" fontId="10" fillId="0" borderId="1" xfId="1" quotePrefix="1" applyNumberFormat="1" applyFont="1" applyFill="1" applyBorder="1" applyAlignment="1">
      <alignment horizontal="center" vertical="center"/>
    </xf>
    <xf numFmtId="169" fontId="10" fillId="0" borderId="1" xfId="258" applyNumberFormat="1" applyFont="1" applyFill="1" applyBorder="1" applyAlignment="1">
      <alignment horizontal="center" vertical="center"/>
    </xf>
    <xf numFmtId="0" fontId="10" fillId="0" borderId="1" xfId="1" applyFont="1" applyFill="1" applyBorder="1" applyAlignment="1">
      <alignment vertical="center" wrapText="1"/>
    </xf>
    <xf numFmtId="0" fontId="14" fillId="0" borderId="1" xfId="1" applyFont="1" applyFill="1" applyBorder="1" applyAlignment="1">
      <alignment horizontal="center" vertical="center"/>
    </xf>
    <xf numFmtId="4" fontId="14" fillId="0" borderId="1" xfId="1" applyNumberFormat="1" applyFont="1" applyFill="1" applyBorder="1" applyAlignment="1" applyProtection="1">
      <alignment vertical="center"/>
      <protection locked="0"/>
    </xf>
    <xf numFmtId="4" fontId="14" fillId="0" borderId="1" xfId="1" applyNumberFormat="1" applyFont="1" applyFill="1" applyBorder="1" applyAlignment="1">
      <alignment vertical="center"/>
    </xf>
    <xf numFmtId="0" fontId="8" fillId="0" borderId="1" xfId="246" applyFont="1" applyFill="1" applyBorder="1" applyAlignment="1">
      <alignment vertical="center" wrapText="1"/>
    </xf>
    <xf numFmtId="49" fontId="8" fillId="0" borderId="1" xfId="258" applyNumberFormat="1" applyFont="1" applyFill="1" applyBorder="1" applyAlignment="1">
      <alignment horizontal="justify" vertical="center" wrapText="1"/>
    </xf>
    <xf numFmtId="0" fontId="8" fillId="0" borderId="1" xfId="1" applyFont="1" applyFill="1" applyBorder="1" applyAlignment="1">
      <alignment vertical="center" wrapText="1"/>
    </xf>
    <xf numFmtId="1" fontId="10" fillId="0" borderId="1" xfId="1" quotePrefix="1" applyNumberFormat="1" applyFont="1" applyFill="1" applyBorder="1" applyAlignment="1">
      <alignment horizontal="center" vertical="top"/>
    </xf>
    <xf numFmtId="4" fontId="8" fillId="0" borderId="1" xfId="1" applyNumberFormat="1" applyFont="1" applyFill="1" applyBorder="1" applyProtection="1">
      <protection locked="0"/>
    </xf>
    <xf numFmtId="4" fontId="8" fillId="0" borderId="1" xfId="1" applyNumberFormat="1" applyFont="1" applyFill="1" applyBorder="1"/>
    <xf numFmtId="0" fontId="10" fillId="0" borderId="1" xfId="1" applyFont="1" applyFill="1" applyBorder="1" applyAlignment="1">
      <alignment horizontal="center"/>
    </xf>
    <xf numFmtId="4" fontId="10" fillId="0" borderId="1" xfId="1" applyNumberFormat="1" applyFont="1" applyFill="1" applyBorder="1" applyProtection="1">
      <protection locked="0"/>
    </xf>
    <xf numFmtId="4" fontId="10" fillId="0" borderId="1" xfId="1" applyNumberFormat="1" applyFont="1" applyFill="1" applyBorder="1"/>
    <xf numFmtId="1" fontId="8" fillId="0" borderId="1" xfId="1" applyNumberFormat="1" applyFont="1" applyFill="1" applyBorder="1" applyAlignment="1">
      <alignment horizontal="center" vertical="top"/>
    </xf>
    <xf numFmtId="0" fontId="8" fillId="0" borderId="1" xfId="1" applyFont="1" applyFill="1" applyBorder="1" applyAlignment="1">
      <alignment horizontal="right" wrapText="1"/>
    </xf>
    <xf numFmtId="0" fontId="10" fillId="0" borderId="1" xfId="1" applyFont="1" applyFill="1" applyBorder="1" applyAlignment="1">
      <alignment horizontal="right" vertical="top" wrapText="1"/>
    </xf>
    <xf numFmtId="0" fontId="8" fillId="0" borderId="1" xfId="1" applyFont="1" applyFill="1" applyBorder="1" applyAlignment="1">
      <alignment horizontal="justify" vertical="top" wrapText="1"/>
    </xf>
    <xf numFmtId="4" fontId="8" fillId="0" borderId="1" xfId="1" applyNumberFormat="1" applyFont="1" applyFill="1" applyBorder="1" applyAlignment="1">
      <alignment horizontal="right" vertical="center" wrapText="1"/>
    </xf>
    <xf numFmtId="3" fontId="8" fillId="0" borderId="1" xfId="1" applyNumberFormat="1" applyFont="1" applyFill="1" applyBorder="1" applyAlignment="1">
      <alignment horizontal="center" vertical="center"/>
    </xf>
    <xf numFmtId="4" fontId="10" fillId="0" borderId="1" xfId="1" applyNumberFormat="1" applyFont="1" applyFill="1" applyBorder="1" applyAlignment="1" applyProtection="1">
      <alignment horizontal="right" vertical="center"/>
      <protection locked="0"/>
    </xf>
    <xf numFmtId="1" fontId="10" fillId="0" borderId="1" xfId="245" quotePrefix="1" applyNumberFormat="1" applyFont="1" applyFill="1" applyBorder="1" applyAlignment="1">
      <alignment horizontal="center" vertical="top"/>
    </xf>
    <xf numFmtId="0" fontId="10" fillId="0" borderId="1" xfId="245" applyFont="1" applyFill="1" applyBorder="1" applyAlignment="1">
      <alignment horizontal="right" vertical="center"/>
    </xf>
    <xf numFmtId="4" fontId="10" fillId="0" borderId="1" xfId="245" applyNumberFormat="1" applyFont="1" applyFill="1" applyBorder="1" applyAlignment="1" applyProtection="1">
      <alignment horizontal="right" vertical="center"/>
      <protection locked="0"/>
    </xf>
    <xf numFmtId="0" fontId="15" fillId="0" borderId="1" xfId="245" applyFont="1" applyFill="1" applyBorder="1" applyAlignment="1">
      <alignment horizontal="right" vertical="center"/>
    </xf>
    <xf numFmtId="4" fontId="15" fillId="0" borderId="1" xfId="245" applyNumberFormat="1" applyFont="1" applyFill="1" applyBorder="1" applyAlignment="1" applyProtection="1">
      <alignment horizontal="right" vertical="center"/>
      <protection locked="0"/>
    </xf>
    <xf numFmtId="4" fontId="15" fillId="0" borderId="1" xfId="245" applyNumberFormat="1" applyFont="1" applyFill="1" applyBorder="1" applyAlignment="1">
      <alignment horizontal="right" vertical="center"/>
    </xf>
    <xf numFmtId="0" fontId="8" fillId="0" borderId="1" xfId="245" applyFont="1" applyFill="1" applyBorder="1" applyAlignment="1">
      <alignment horizontal="right" vertical="center" wrapText="1"/>
    </xf>
    <xf numFmtId="0" fontId="14" fillId="0" borderId="1" xfId="245" applyFont="1" applyFill="1" applyBorder="1" applyAlignment="1">
      <alignment horizontal="center" vertical="center"/>
    </xf>
    <xf numFmtId="4" fontId="14" fillId="0" borderId="1" xfId="245" applyNumberFormat="1" applyFont="1" applyFill="1" applyBorder="1" applyAlignment="1" applyProtection="1">
      <alignment horizontal="right" vertical="center"/>
      <protection locked="0"/>
    </xf>
    <xf numFmtId="49" fontId="8" fillId="0" borderId="1" xfId="245" applyNumberFormat="1" applyFont="1" applyFill="1" applyBorder="1" applyAlignment="1">
      <alignment horizontal="right" vertical="center" wrapText="1"/>
    </xf>
    <xf numFmtId="1" fontId="10" fillId="0" borderId="1" xfId="245" applyNumberFormat="1" applyFont="1" applyFill="1" applyBorder="1" applyAlignment="1">
      <alignment horizontal="center" vertical="top"/>
    </xf>
    <xf numFmtId="4" fontId="10" fillId="0" borderId="1" xfId="213" applyNumberFormat="1" applyFont="1" applyBorder="1" applyAlignment="1">
      <alignment horizontal="right" vertical="center" wrapText="1"/>
    </xf>
    <xf numFmtId="0" fontId="10" fillId="0" borderId="1" xfId="213" applyNumberFormat="1" applyFont="1" applyFill="1" applyBorder="1" applyAlignment="1">
      <alignment horizontal="center" vertical="center" wrapText="1"/>
    </xf>
    <xf numFmtId="4" fontId="10" fillId="0" borderId="1" xfId="213" applyNumberFormat="1" applyFont="1" applyFill="1" applyBorder="1" applyAlignment="1">
      <alignment horizontal="right" vertical="center" wrapText="1"/>
    </xf>
    <xf numFmtId="4" fontId="10" fillId="0" borderId="1" xfId="213" applyNumberFormat="1" applyFont="1" applyFill="1" applyBorder="1" applyAlignment="1">
      <alignment vertical="center" wrapText="1"/>
    </xf>
    <xf numFmtId="4" fontId="8" fillId="0" borderId="1" xfId="213" applyNumberFormat="1" applyFont="1" applyFill="1" applyBorder="1" applyAlignment="1">
      <alignment horizontal="right" vertical="center" wrapText="1"/>
    </xf>
    <xf numFmtId="2" fontId="8" fillId="0" borderId="1" xfId="213" applyNumberFormat="1" applyFont="1" applyFill="1" applyBorder="1" applyAlignment="1">
      <alignment horizontal="right" vertical="center" wrapText="1"/>
    </xf>
    <xf numFmtId="4" fontId="10" fillId="0" borderId="1" xfId="213" applyNumberFormat="1" applyFont="1" applyFill="1" applyBorder="1" applyAlignment="1">
      <alignment horizontal="right" vertical="center"/>
    </xf>
    <xf numFmtId="0" fontId="8" fillId="0" borderId="1" xfId="213" applyNumberFormat="1" applyFont="1" applyFill="1" applyBorder="1" applyAlignment="1">
      <alignment horizontal="center" vertical="center" wrapText="1"/>
    </xf>
    <xf numFmtId="3" fontId="8" fillId="0" borderId="1" xfId="213" applyNumberFormat="1" applyFont="1" applyFill="1" applyBorder="1" applyAlignment="1">
      <alignment horizontal="center" vertical="center" wrapText="1"/>
    </xf>
    <xf numFmtId="4" fontId="8" fillId="0" borderId="1" xfId="366" applyNumberFormat="1" applyFont="1" applyFill="1" applyBorder="1" applyAlignment="1">
      <alignment horizontal="center" vertical="center"/>
    </xf>
    <xf numFmtId="2" fontId="8" fillId="0" borderId="1" xfId="366" applyNumberFormat="1" applyFont="1" applyFill="1" applyBorder="1" applyAlignment="1">
      <alignment horizontal="right" vertical="center"/>
    </xf>
    <xf numFmtId="4" fontId="8" fillId="0" borderId="1" xfId="366" applyNumberFormat="1" applyFont="1" applyFill="1" applyBorder="1" applyAlignment="1">
      <alignment horizontal="right" vertical="center"/>
    </xf>
    <xf numFmtId="49" fontId="8" fillId="0" borderId="1" xfId="213" applyNumberFormat="1" applyFont="1" applyFill="1" applyBorder="1" applyAlignment="1">
      <alignment horizontal="right" vertical="center" wrapText="1"/>
    </xf>
    <xf numFmtId="4" fontId="10" fillId="0" borderId="1" xfId="366" applyNumberFormat="1" applyFont="1" applyFill="1" applyBorder="1" applyAlignment="1">
      <alignment horizontal="center" vertical="center"/>
    </xf>
    <xf numFmtId="2" fontId="10" fillId="0" borderId="1" xfId="366" applyNumberFormat="1" applyFont="1" applyFill="1" applyBorder="1" applyAlignment="1">
      <alignment horizontal="right" vertical="center"/>
    </xf>
    <xf numFmtId="4" fontId="10" fillId="0" borderId="1" xfId="366" applyNumberFormat="1" applyFont="1" applyFill="1" applyBorder="1" applyAlignment="1">
      <alignment horizontal="right" vertical="center"/>
    </xf>
    <xf numFmtId="1" fontId="14" fillId="0" borderId="1" xfId="258" applyNumberFormat="1" applyFont="1" applyFill="1" applyBorder="1" applyAlignment="1">
      <alignment horizontal="center" vertical="center"/>
    </xf>
    <xf numFmtId="0" fontId="15" fillId="0" borderId="1" xfId="258" applyFont="1" applyFill="1" applyBorder="1" applyAlignment="1">
      <alignment horizontal="right" vertical="center" wrapText="1"/>
    </xf>
    <xf numFmtId="0" fontId="14" fillId="0" borderId="1" xfId="258" applyFont="1" applyFill="1" applyBorder="1" applyAlignment="1">
      <alignment horizontal="left" vertical="center" wrapText="1"/>
    </xf>
    <xf numFmtId="4" fontId="14" fillId="0" borderId="1" xfId="366" applyNumberFormat="1" applyFont="1" applyFill="1" applyBorder="1" applyAlignment="1">
      <alignment horizontal="center" vertical="center"/>
    </xf>
    <xf numFmtId="2" fontId="14" fillId="0" borderId="1" xfId="258" applyNumberFormat="1" applyFont="1" applyFill="1" applyBorder="1" applyAlignment="1">
      <alignment horizontal="right" vertical="center"/>
    </xf>
    <xf numFmtId="4" fontId="14" fillId="0" borderId="1" xfId="258" applyNumberFormat="1" applyFont="1" applyFill="1" applyBorder="1" applyAlignment="1">
      <alignment horizontal="right" vertical="center"/>
    </xf>
    <xf numFmtId="172" fontId="8" fillId="0" borderId="1" xfId="258" applyNumberFormat="1" applyFont="1" applyFill="1" applyBorder="1" applyAlignment="1">
      <alignment vertical="center"/>
    </xf>
    <xf numFmtId="172" fontId="8" fillId="0" borderId="1" xfId="258" applyNumberFormat="1" applyFont="1" applyFill="1" applyBorder="1" applyAlignment="1">
      <alignment horizontal="right" vertical="center"/>
    </xf>
    <xf numFmtId="172" fontId="10" fillId="0" borderId="1" xfId="258" applyNumberFormat="1" applyFont="1" applyFill="1" applyBorder="1" applyAlignment="1">
      <alignment horizontal="right" vertical="center"/>
    </xf>
    <xf numFmtId="3" fontId="8" fillId="0" borderId="1" xfId="213" applyNumberFormat="1" applyFont="1" applyBorder="1" applyAlignment="1">
      <alignment horizontal="center" vertical="center" wrapText="1"/>
    </xf>
    <xf numFmtId="4" fontId="8" fillId="0" borderId="1" xfId="213" applyNumberFormat="1" applyFont="1" applyFill="1" applyBorder="1" applyAlignment="1">
      <alignment horizontal="center" vertical="center"/>
    </xf>
    <xf numFmtId="4" fontId="8" fillId="0" borderId="1" xfId="213" applyNumberFormat="1" applyFont="1" applyFill="1" applyBorder="1" applyAlignment="1">
      <alignment horizontal="left" vertical="center" wrapText="1" indent="1"/>
    </xf>
    <xf numFmtId="4" fontId="10" fillId="0" borderId="1" xfId="213" applyNumberFormat="1" applyFont="1" applyFill="1" applyBorder="1" applyAlignment="1">
      <alignment horizontal="center" vertical="center" wrapText="1"/>
    </xf>
    <xf numFmtId="3" fontId="10" fillId="0" borderId="1" xfId="213" applyNumberFormat="1" applyFont="1" applyFill="1" applyBorder="1" applyAlignment="1">
      <alignment horizontal="center" vertical="center" wrapText="1"/>
    </xf>
    <xf numFmtId="0" fontId="10" fillId="0" borderId="1" xfId="245" applyFont="1" applyFill="1" applyBorder="1" applyAlignment="1">
      <alignment horizontal="center" vertical="center"/>
    </xf>
    <xf numFmtId="4" fontId="10" fillId="0" borderId="1" xfId="245" applyNumberFormat="1" applyFont="1" applyFill="1" applyBorder="1" applyAlignment="1" applyProtection="1">
      <alignment vertical="center"/>
      <protection locked="0"/>
    </xf>
    <xf numFmtId="0" fontId="8" fillId="0" borderId="1" xfId="1" applyFont="1" applyFill="1" applyBorder="1" applyAlignment="1" applyProtection="1">
      <alignment horizontal="right" vertical="center"/>
      <protection locked="0"/>
    </xf>
    <xf numFmtId="171" fontId="8" fillId="0" borderId="1" xfId="258" applyNumberFormat="1" applyFont="1" applyFill="1" applyBorder="1" applyAlignment="1">
      <alignment horizontal="right" vertical="center"/>
    </xf>
    <xf numFmtId="4" fontId="8" fillId="0" borderId="1" xfId="235" applyNumberFormat="1" applyFont="1" applyFill="1" applyBorder="1" applyAlignment="1" applyProtection="1">
      <alignment horizontal="center" vertical="center"/>
      <protection locked="0"/>
    </xf>
    <xf numFmtId="1" fontId="10" fillId="0" borderId="1" xfId="245" quotePrefix="1" applyNumberFormat="1" applyFont="1" applyFill="1" applyBorder="1" applyAlignment="1">
      <alignment horizontal="center" vertical="center"/>
    </xf>
    <xf numFmtId="0" fontId="8" fillId="0" borderId="1" xfId="245" applyFont="1" applyFill="1" applyBorder="1" applyAlignment="1">
      <alignment horizontal="center"/>
    </xf>
    <xf numFmtId="4" fontId="8" fillId="0" borderId="1" xfId="245" applyNumberFormat="1" applyFont="1" applyFill="1" applyBorder="1" applyProtection="1">
      <protection locked="0"/>
    </xf>
    <xf numFmtId="4" fontId="8" fillId="0" borderId="1" xfId="245" applyNumberFormat="1" applyFont="1" applyFill="1" applyBorder="1"/>
    <xf numFmtId="0" fontId="10" fillId="0" borderId="1" xfId="245" applyFont="1" applyFill="1" applyBorder="1" applyAlignment="1">
      <alignment horizontal="center"/>
    </xf>
    <xf numFmtId="4" fontId="10" fillId="0" borderId="1" xfId="245" applyNumberFormat="1" applyFont="1" applyFill="1" applyBorder="1" applyProtection="1">
      <protection locked="0"/>
    </xf>
    <xf numFmtId="4" fontId="10" fillId="0" borderId="1" xfId="245" applyNumberFormat="1" applyFont="1" applyFill="1" applyBorder="1"/>
    <xf numFmtId="0" fontId="15" fillId="0" borderId="1" xfId="245" applyFont="1" applyFill="1" applyBorder="1" applyAlignment="1">
      <alignment horizontal="center"/>
    </xf>
    <xf numFmtId="4" fontId="15" fillId="0" borderId="1" xfId="245" applyNumberFormat="1" applyFont="1" applyFill="1" applyBorder="1" applyProtection="1">
      <protection locked="0"/>
    </xf>
    <xf numFmtId="4" fontId="15" fillId="0" borderId="1" xfId="245" applyNumberFormat="1" applyFont="1" applyFill="1" applyBorder="1"/>
    <xf numFmtId="172" fontId="10" fillId="0" borderId="1" xfId="258" applyNumberFormat="1" applyFont="1" applyFill="1" applyBorder="1" applyAlignment="1">
      <alignment vertical="center"/>
    </xf>
    <xf numFmtId="0" fontId="16" fillId="0" borderId="1" xfId="1" applyFont="1" applyFill="1" applyBorder="1" applyAlignment="1">
      <alignment horizontal="right" vertical="center" wrapText="1"/>
    </xf>
    <xf numFmtId="0" fontId="16" fillId="0" borderId="1" xfId="1" applyFont="1" applyFill="1" applyBorder="1" applyAlignment="1">
      <alignment horizontal="right" vertical="center"/>
    </xf>
    <xf numFmtId="4" fontId="16" fillId="0" borderId="1" xfId="1" applyNumberFormat="1" applyFont="1" applyFill="1" applyBorder="1" applyAlignment="1" applyProtection="1">
      <alignment horizontal="right" vertical="center"/>
      <protection locked="0"/>
    </xf>
    <xf numFmtId="4" fontId="16" fillId="0" borderId="1" xfId="1" applyNumberFormat="1" applyFont="1" applyFill="1" applyBorder="1" applyAlignment="1">
      <alignment horizontal="right" vertical="center"/>
    </xf>
    <xf numFmtId="0" fontId="16" fillId="0" borderId="1" xfId="1" applyFont="1" applyFill="1" applyBorder="1" applyAlignment="1">
      <alignment horizontal="center" vertical="center"/>
    </xf>
    <xf numFmtId="4" fontId="16" fillId="0" borderId="1" xfId="1" applyNumberFormat="1" applyFont="1" applyFill="1" applyBorder="1" applyAlignment="1">
      <alignment horizontal="right" vertical="center" wrapText="1"/>
    </xf>
    <xf numFmtId="4" fontId="8" fillId="0" borderId="1" xfId="245" applyNumberFormat="1" applyFont="1" applyFill="1" applyBorder="1" applyAlignment="1" applyProtection="1">
      <alignment horizontal="center" vertical="center"/>
      <protection locked="0"/>
    </xf>
    <xf numFmtId="4" fontId="8" fillId="0" borderId="1" xfId="366" applyNumberFormat="1" applyFont="1" applyBorder="1" applyAlignment="1">
      <alignment horizontal="center" vertical="center"/>
    </xf>
    <xf numFmtId="3" fontId="8" fillId="0" borderId="1" xfId="366" applyNumberFormat="1" applyFont="1" applyBorder="1" applyAlignment="1">
      <alignment horizontal="center" vertical="center"/>
    </xf>
    <xf numFmtId="4" fontId="8" fillId="0" borderId="1" xfId="366" applyNumberFormat="1" applyFont="1" applyBorder="1" applyAlignment="1">
      <alignment horizontal="right" vertical="center"/>
    </xf>
    <xf numFmtId="0" fontId="14" fillId="0" borderId="1" xfId="1" applyFont="1" applyFill="1" applyBorder="1" applyAlignment="1">
      <alignment vertical="center" wrapText="1"/>
    </xf>
    <xf numFmtId="2" fontId="8" fillId="0" borderId="1" xfId="1" applyNumberFormat="1" applyFont="1" applyFill="1" applyBorder="1" applyAlignment="1" applyProtection="1">
      <alignment horizontal="right" vertical="center"/>
      <protection locked="0"/>
    </xf>
    <xf numFmtId="3" fontId="8" fillId="0" borderId="1" xfId="366" applyNumberFormat="1" applyFont="1" applyFill="1" applyBorder="1" applyAlignment="1">
      <alignment horizontal="center" vertical="center"/>
    </xf>
    <xf numFmtId="4" fontId="8" fillId="0" borderId="1" xfId="213" applyNumberFormat="1" applyFont="1" applyBorder="1" applyAlignment="1">
      <alignment vertical="center" wrapText="1"/>
    </xf>
    <xf numFmtId="4" fontId="8" fillId="0" borderId="1" xfId="213" applyNumberFormat="1" applyFont="1" applyBorder="1" applyAlignment="1">
      <alignment horizontal="right" vertical="center" wrapText="1"/>
    </xf>
    <xf numFmtId="3" fontId="8" fillId="0" borderId="1" xfId="366" applyNumberFormat="1" applyFont="1" applyBorder="1" applyAlignment="1">
      <alignment horizontal="right" vertical="center"/>
    </xf>
    <xf numFmtId="4" fontId="10" fillId="0" borderId="1" xfId="213" applyNumberFormat="1" applyFont="1" applyBorder="1" applyAlignment="1">
      <alignment horizontal="center" vertical="center" wrapText="1"/>
    </xf>
    <xf numFmtId="4" fontId="10" fillId="0" borderId="1" xfId="366" applyNumberFormat="1" applyFont="1" applyBorder="1" applyAlignment="1">
      <alignment horizontal="right" vertical="center"/>
    </xf>
    <xf numFmtId="4" fontId="8" fillId="0" borderId="1" xfId="213" applyNumberFormat="1" applyFont="1" applyFill="1" applyBorder="1" applyAlignment="1">
      <alignment horizontal="left" vertical="center" wrapText="1"/>
    </xf>
    <xf numFmtId="0" fontId="11" fillId="0" borderId="1" xfId="0" applyFont="1" applyBorder="1" applyAlignment="1">
      <alignment horizontal="center"/>
    </xf>
    <xf numFmtId="0" fontId="12" fillId="0" borderId="1" xfId="0" applyFont="1" applyBorder="1" applyAlignment="1">
      <alignment horizontal="center"/>
    </xf>
    <xf numFmtId="0" fontId="12" fillId="0" borderId="1" xfId="0" applyFont="1" applyBorder="1"/>
    <xf numFmtId="0" fontId="12" fillId="0" borderId="0" xfId="0" applyFont="1"/>
    <xf numFmtId="4" fontId="12" fillId="0" borderId="1" xfId="450" applyNumberFormat="1" applyFont="1" applyBorder="1"/>
    <xf numFmtId="0" fontId="12" fillId="2" borderId="1" xfId="0" applyFont="1" applyFill="1" applyBorder="1"/>
    <xf numFmtId="0" fontId="11" fillId="2" borderId="1" xfId="0" applyFont="1" applyFill="1" applyBorder="1"/>
    <xf numFmtId="4" fontId="8" fillId="2" borderId="1" xfId="258" applyNumberFormat="1" applyFont="1" applyFill="1" applyBorder="1" applyAlignment="1">
      <alignment horizontal="right" vertical="center"/>
    </xf>
    <xf numFmtId="0" fontId="8" fillId="2" borderId="1" xfId="1" applyFont="1" applyFill="1" applyBorder="1" applyAlignment="1">
      <alignment horizontal="right" vertical="center"/>
    </xf>
    <xf numFmtId="0" fontId="12" fillId="6" borderId="1" xfId="0" applyFont="1" applyFill="1" applyBorder="1" applyAlignment="1">
      <alignment wrapText="1"/>
    </xf>
    <xf numFmtId="0" fontId="11" fillId="0" borderId="0" xfId="0" applyFont="1" applyBorder="1"/>
    <xf numFmtId="4" fontId="2" fillId="2" borderId="0" xfId="258" applyNumberFormat="1" applyFill="1"/>
    <xf numFmtId="0" fontId="11" fillId="3" borderId="0" xfId="0" applyFont="1" applyFill="1"/>
    <xf numFmtId="0" fontId="8" fillId="0" borderId="1" xfId="1" applyFont="1" applyFill="1" applyBorder="1" applyAlignment="1">
      <alignment horizontal="center" wrapText="1"/>
    </xf>
    <xf numFmtId="0" fontId="11" fillId="6" borderId="0" xfId="0" applyFont="1" applyFill="1"/>
    <xf numFmtId="0" fontId="11" fillId="7" borderId="0" xfId="0" applyFont="1" applyFill="1"/>
    <xf numFmtId="4" fontId="8" fillId="2" borderId="1" xfId="258" applyNumberFormat="1" applyFont="1" applyFill="1" applyBorder="1" applyAlignment="1">
      <alignment vertical="center"/>
    </xf>
    <xf numFmtId="4" fontId="8" fillId="2" borderId="1" xfId="1" applyNumberFormat="1" applyFont="1" applyFill="1" applyBorder="1" applyAlignment="1">
      <alignment vertical="center"/>
    </xf>
    <xf numFmtId="4" fontId="8" fillId="2" borderId="1" xfId="258" applyNumberFormat="1" applyFont="1" applyFill="1" applyBorder="1" applyAlignment="1" applyProtection="1">
      <alignment vertical="center"/>
      <protection locked="0"/>
    </xf>
    <xf numFmtId="4" fontId="8" fillId="2" borderId="1" xfId="1" applyNumberFormat="1" applyFont="1" applyFill="1" applyBorder="1" applyAlignment="1" applyProtection="1">
      <alignment horizontal="right" vertical="center"/>
      <protection locked="0"/>
    </xf>
    <xf numFmtId="4" fontId="8" fillId="2" borderId="1" xfId="1" applyNumberFormat="1" applyFont="1" applyFill="1" applyBorder="1" applyAlignment="1">
      <alignment horizontal="right" vertical="center"/>
    </xf>
    <xf numFmtId="4" fontId="8" fillId="2" borderId="1" xfId="246" applyNumberFormat="1" applyFont="1" applyFill="1" applyBorder="1" applyAlignment="1" applyProtection="1">
      <alignment horizontal="right" vertical="center"/>
      <protection locked="0"/>
    </xf>
    <xf numFmtId="0" fontId="11" fillId="2" borderId="0" xfId="0" applyFont="1" applyFill="1"/>
    <xf numFmtId="4" fontId="10" fillId="2" borderId="1" xfId="258" applyNumberFormat="1" applyFont="1" applyFill="1" applyBorder="1" applyAlignment="1">
      <alignment horizontal="right" vertical="center"/>
    </xf>
    <xf numFmtId="0" fontId="8" fillId="2" borderId="0" xfId="0" applyFont="1" applyFill="1"/>
    <xf numFmtId="4" fontId="8" fillId="2" borderId="1" xfId="246" applyNumberFormat="1" applyFont="1" applyFill="1" applyBorder="1" applyAlignment="1">
      <alignment vertical="center"/>
    </xf>
    <xf numFmtId="4" fontId="8" fillId="2" borderId="1" xfId="246" applyNumberFormat="1" applyFont="1" applyFill="1" applyBorder="1" applyAlignment="1" applyProtection="1">
      <alignment vertical="center"/>
      <protection locked="0"/>
    </xf>
    <xf numFmtId="4" fontId="8" fillId="2" borderId="1" xfId="246" applyNumberFormat="1" applyFont="1" applyFill="1" applyBorder="1" applyProtection="1">
      <protection locked="0"/>
    </xf>
    <xf numFmtId="4" fontId="8" fillId="2" borderId="1" xfId="245" applyNumberFormat="1" applyFont="1" applyFill="1" applyBorder="1" applyAlignment="1">
      <alignment horizontal="right" vertical="center"/>
    </xf>
    <xf numFmtId="4" fontId="8" fillId="2" borderId="1" xfId="235" applyNumberFormat="1" applyFont="1" applyFill="1" applyBorder="1" applyAlignment="1">
      <alignment horizontal="right" vertical="center"/>
    </xf>
    <xf numFmtId="0" fontId="10" fillId="8" borderId="1" xfId="0" applyNumberFormat="1" applyFont="1" applyFill="1" applyBorder="1" applyAlignment="1">
      <alignment horizontal="center" vertical="center" wrapText="1"/>
    </xf>
    <xf numFmtId="1" fontId="10" fillId="8"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2" borderId="1" xfId="258" applyFont="1" applyFill="1" applyBorder="1" applyAlignment="1" applyProtection="1">
      <alignment horizontal="center" vertical="center" wrapText="1"/>
      <protection locked="0"/>
    </xf>
    <xf numFmtId="4" fontId="10" fillId="2" borderId="1" xfId="258" applyNumberFormat="1" applyFont="1" applyFill="1" applyBorder="1" applyAlignment="1" applyProtection="1">
      <alignment horizontal="center" vertical="center" wrapText="1"/>
      <protection locked="0"/>
    </xf>
    <xf numFmtId="0" fontId="10" fillId="2" borderId="1" xfId="235" applyFont="1" applyFill="1" applyBorder="1" applyAlignment="1" applyProtection="1">
      <alignment horizontal="center" vertical="center" wrapText="1"/>
      <protection locked="0"/>
    </xf>
    <xf numFmtId="1" fontId="8" fillId="0" borderId="1" xfId="258" applyNumberFormat="1" applyFont="1" applyFill="1" applyBorder="1" applyAlignment="1">
      <alignment horizontal="center" vertical="center" wrapText="1"/>
    </xf>
    <xf numFmtId="4" fontId="8" fillId="0" borderId="1" xfId="12" applyNumberFormat="1" applyFont="1" applyFill="1" applyBorder="1" applyAlignment="1">
      <alignment horizontal="right" vertical="center"/>
    </xf>
    <xf numFmtId="4" fontId="8" fillId="2" borderId="1" xfId="366" applyNumberFormat="1" applyFont="1" applyFill="1" applyBorder="1" applyAlignment="1">
      <alignment horizontal="right" vertical="center"/>
    </xf>
    <xf numFmtId="4" fontId="10" fillId="2" borderId="1" xfId="366" applyNumberFormat="1" applyFont="1" applyFill="1" applyBorder="1" applyAlignment="1">
      <alignment horizontal="right" vertical="center"/>
    </xf>
    <xf numFmtId="4" fontId="8" fillId="2" borderId="1" xfId="366" applyNumberFormat="1" applyFont="1" applyFill="1" applyBorder="1" applyAlignment="1">
      <alignment horizontal="center" vertical="center"/>
    </xf>
    <xf numFmtId="0" fontId="12" fillId="2" borderId="0" xfId="0" applyFont="1" applyFill="1"/>
    <xf numFmtId="0" fontId="12" fillId="0" borderId="1" xfId="0" applyFont="1" applyFill="1" applyBorder="1"/>
    <xf numFmtId="0" fontId="11" fillId="0" borderId="1" xfId="0" applyFont="1" applyFill="1" applyBorder="1"/>
    <xf numFmtId="0" fontId="12" fillId="0" borderId="1" xfId="0" applyFont="1" applyFill="1" applyBorder="1" applyAlignment="1">
      <alignment horizontal="center"/>
    </xf>
    <xf numFmtId="4" fontId="12" fillId="0" borderId="1" xfId="0" applyNumberFormat="1" applyFont="1" applyFill="1" applyBorder="1"/>
    <xf numFmtId="49" fontId="8" fillId="0" borderId="1" xfId="1" applyNumberFormat="1" applyFont="1" applyFill="1" applyBorder="1" applyAlignment="1">
      <alignment horizontal="center" vertical="center"/>
    </xf>
    <xf numFmtId="49" fontId="8" fillId="0" borderId="1" xfId="1" applyNumberFormat="1" applyFont="1" applyFill="1" applyBorder="1" applyAlignment="1" applyProtection="1">
      <alignment horizontal="right" vertical="center"/>
      <protection locked="0"/>
    </xf>
    <xf numFmtId="0" fontId="11" fillId="0" borderId="0" xfId="0" applyFont="1" applyFill="1"/>
    <xf numFmtId="49" fontId="8" fillId="0" borderId="1" xfId="258" applyNumberFormat="1" applyFont="1" applyFill="1" applyBorder="1" applyAlignment="1">
      <alignment horizontal="center" vertical="center"/>
    </xf>
    <xf numFmtId="49" fontId="8" fillId="0" borderId="1" xfId="258" applyNumberFormat="1" applyFont="1" applyFill="1" applyBorder="1" applyAlignment="1" applyProtection="1">
      <alignment horizontal="right" vertical="center"/>
      <protection locked="0"/>
    </xf>
    <xf numFmtId="1" fontId="8" fillId="0" borderId="1" xfId="1" applyNumberFormat="1" applyFont="1" applyFill="1" applyBorder="1" applyAlignment="1">
      <alignment horizontal="center" vertical="center" wrapText="1"/>
    </xf>
    <xf numFmtId="49" fontId="8" fillId="0" borderId="1" xfId="258" applyNumberFormat="1" applyFont="1" applyFill="1" applyBorder="1" applyAlignment="1">
      <alignment horizontal="center" vertical="center" wrapText="1"/>
    </xf>
    <xf numFmtId="0" fontId="8" fillId="0" borderId="1" xfId="258" applyFont="1" applyFill="1" applyBorder="1" applyAlignment="1">
      <alignment horizontal="center" vertical="center" wrapText="1"/>
    </xf>
    <xf numFmtId="0" fontId="8" fillId="0" borderId="1" xfId="1" applyFont="1" applyFill="1" applyBorder="1"/>
    <xf numFmtId="4" fontId="11" fillId="0" borderId="1" xfId="12" applyNumberFormat="1" applyFont="1" applyFill="1" applyBorder="1" applyAlignment="1">
      <alignment horizontal="right" vertical="center"/>
    </xf>
    <xf numFmtId="2" fontId="8" fillId="0" borderId="1" xfId="1" applyNumberFormat="1" applyFont="1" applyFill="1" applyBorder="1" applyAlignment="1">
      <alignment horizontal="right" vertical="center"/>
    </xf>
    <xf numFmtId="4" fontId="8" fillId="0" borderId="1" xfId="258" applyNumberFormat="1" applyFont="1" applyFill="1" applyBorder="1" applyAlignment="1">
      <alignment horizontal="right" vertical="center" wrapText="1"/>
    </xf>
    <xf numFmtId="4" fontId="8" fillId="0" borderId="1" xfId="1" applyNumberFormat="1" applyFont="1" applyFill="1" applyBorder="1" applyAlignment="1">
      <alignment horizontal="right"/>
    </xf>
    <xf numFmtId="0" fontId="10" fillId="0" borderId="1" xfId="258" applyNumberFormat="1" applyFont="1" applyFill="1" applyBorder="1" applyAlignment="1">
      <alignment horizontal="right" vertical="center"/>
    </xf>
    <xf numFmtId="4" fontId="14" fillId="0" borderId="1" xfId="245" applyNumberFormat="1" applyFont="1" applyFill="1" applyBorder="1" applyAlignment="1">
      <alignment horizontal="right" vertical="center"/>
    </xf>
    <xf numFmtId="0" fontId="8" fillId="0" borderId="1" xfId="245" applyFont="1" applyFill="1" applyBorder="1"/>
    <xf numFmtId="4" fontId="8" fillId="0" borderId="1" xfId="245" applyNumberFormat="1" applyFont="1" applyFill="1" applyBorder="1" applyAlignment="1"/>
    <xf numFmtId="0" fontId="8" fillId="0" borderId="1" xfId="245" applyFont="1" applyFill="1" applyBorder="1" applyAlignment="1">
      <alignment vertical="center"/>
    </xf>
    <xf numFmtId="4" fontId="10" fillId="0" borderId="1" xfId="213" applyNumberFormat="1" applyFont="1" applyFill="1" applyBorder="1" applyAlignment="1">
      <alignment horizontal="center" vertical="center"/>
    </xf>
    <xf numFmtId="0" fontId="8" fillId="0" borderId="1" xfId="235" applyFont="1" applyFill="1" applyBorder="1" applyAlignment="1">
      <alignment horizontal="center" vertical="center" wrapText="1"/>
    </xf>
    <xf numFmtId="0" fontId="8" fillId="0" borderId="1" xfId="235" applyNumberFormat="1" applyFont="1" applyFill="1" applyBorder="1" applyAlignment="1">
      <alignment horizontal="right" vertical="center"/>
    </xf>
    <xf numFmtId="0" fontId="8" fillId="0" borderId="1" xfId="235" applyFont="1" applyFill="1" applyBorder="1"/>
    <xf numFmtId="4" fontId="8" fillId="0" borderId="1" xfId="235" applyNumberFormat="1" applyFont="1" applyFill="1" applyBorder="1" applyProtection="1">
      <protection locked="0"/>
    </xf>
    <xf numFmtId="4" fontId="14" fillId="0" borderId="1" xfId="245" applyNumberFormat="1" applyFont="1" applyFill="1" applyBorder="1" applyAlignment="1" applyProtection="1">
      <alignment vertical="center"/>
      <protection locked="0"/>
    </xf>
    <xf numFmtId="4" fontId="14" fillId="0" borderId="1" xfId="245" applyNumberFormat="1" applyFont="1" applyFill="1" applyBorder="1" applyAlignment="1">
      <alignment vertical="center"/>
    </xf>
    <xf numFmtId="4" fontId="8" fillId="0" borderId="1" xfId="245" applyNumberFormat="1" applyFont="1" applyFill="1" applyBorder="1" applyAlignment="1">
      <alignment horizontal="right"/>
    </xf>
    <xf numFmtId="0" fontId="12" fillId="9" borderId="1" xfId="0" applyFont="1" applyFill="1" applyBorder="1"/>
    <xf numFmtId="0" fontId="11" fillId="9" borderId="1" xfId="0" applyFont="1" applyFill="1" applyBorder="1"/>
    <xf numFmtId="0" fontId="12" fillId="9" borderId="1" xfId="0" applyFont="1" applyFill="1" applyBorder="1" applyAlignment="1">
      <alignment horizontal="center"/>
    </xf>
    <xf numFmtId="4" fontId="11" fillId="0" borderId="0" xfId="0" applyNumberFormat="1" applyFont="1"/>
    <xf numFmtId="4" fontId="10" fillId="2" borderId="3" xfId="258" quotePrefix="1" applyNumberFormat="1" applyFont="1" applyFill="1" applyBorder="1" applyAlignment="1" applyProtection="1">
      <alignment horizontal="center" vertical="center" wrapText="1"/>
      <protection locked="0"/>
    </xf>
    <xf numFmtId="4" fontId="10" fillId="2" borderId="4" xfId="258" applyNumberFormat="1" applyFont="1" applyFill="1" applyBorder="1" applyAlignment="1" applyProtection="1">
      <alignment horizontal="center" vertical="center" wrapText="1"/>
      <protection locked="0"/>
    </xf>
    <xf numFmtId="0" fontId="11" fillId="0" borderId="3" xfId="0" applyFont="1" applyFill="1" applyBorder="1"/>
    <xf numFmtId="0" fontId="11" fillId="0" borderId="4" xfId="0" applyFont="1" applyFill="1" applyBorder="1"/>
    <xf numFmtId="43" fontId="11" fillId="0" borderId="4" xfId="454" applyFont="1" applyFill="1" applyBorder="1" applyAlignment="1">
      <alignment horizontal="right" vertical="center"/>
    </xf>
    <xf numFmtId="0" fontId="11" fillId="6" borderId="3" xfId="0" applyFont="1" applyFill="1" applyBorder="1"/>
    <xf numFmtId="0" fontId="11" fillId="6" borderId="4" xfId="0" applyFont="1" applyFill="1" applyBorder="1"/>
    <xf numFmtId="4" fontId="10" fillId="0" borderId="4" xfId="258" applyNumberFormat="1" applyFont="1" applyFill="1" applyBorder="1" applyAlignment="1">
      <alignment vertical="center"/>
    </xf>
    <xf numFmtId="44" fontId="11" fillId="0" borderId="4" xfId="12" applyFont="1" applyFill="1" applyBorder="1"/>
    <xf numFmtId="44" fontId="12" fillId="0" borderId="4" xfId="12" applyFont="1" applyFill="1" applyBorder="1"/>
    <xf numFmtId="44" fontId="11" fillId="0" borderId="4" xfId="12" applyFont="1" applyFill="1" applyBorder="1" applyAlignment="1">
      <alignment horizontal="right" vertical="center"/>
    </xf>
    <xf numFmtId="4" fontId="11" fillId="0" borderId="1" xfId="0" applyNumberFormat="1" applyFont="1" applyFill="1" applyBorder="1"/>
    <xf numFmtId="0" fontId="8" fillId="0" borderId="1" xfId="0" applyFont="1" applyFill="1" applyBorder="1"/>
    <xf numFmtId="44" fontId="11" fillId="0" borderId="0" xfId="0" applyNumberFormat="1" applyFont="1"/>
    <xf numFmtId="0" fontId="11" fillId="0" borderId="0" xfId="0" applyFont="1" applyFill="1" applyBorder="1"/>
    <xf numFmtId="44" fontId="11" fillId="0" borderId="0" xfId="450" applyFont="1" applyFill="1" applyBorder="1"/>
    <xf numFmtId="0" fontId="12" fillId="0" borderId="0" xfId="0" applyFont="1" applyFill="1"/>
    <xf numFmtId="49" fontId="11" fillId="0" borderId="0" xfId="0" applyNumberFormat="1" applyFont="1" applyFill="1"/>
    <xf numFmtId="0" fontId="8" fillId="0" borderId="0" xfId="0" applyFont="1" applyFill="1"/>
    <xf numFmtId="43" fontId="11" fillId="0" borderId="0" xfId="0" applyNumberFormat="1" applyFont="1" applyFill="1"/>
    <xf numFmtId="44" fontId="11" fillId="0" borderId="0" xfId="0" applyNumberFormat="1" applyFont="1" applyFill="1"/>
    <xf numFmtId="4" fontId="8" fillId="2" borderId="0" xfId="448" applyNumberFormat="1" applyFont="1" applyFill="1" applyBorder="1" applyAlignment="1"/>
    <xf numFmtId="49" fontId="8" fillId="2" borderId="0" xfId="0" applyNumberFormat="1" applyFont="1" applyFill="1" applyBorder="1" applyAlignment="1">
      <alignment horizontal="left" wrapText="1"/>
    </xf>
    <xf numFmtId="49" fontId="10" fillId="2" borderId="0" xfId="0" applyNumberFormat="1" applyFont="1" applyFill="1" applyBorder="1" applyAlignment="1">
      <alignment horizontal="left" wrapText="1"/>
    </xf>
    <xf numFmtId="0" fontId="10" fillId="0" borderId="1" xfId="1" applyFont="1" applyFill="1" applyBorder="1" applyAlignment="1">
      <alignment horizontal="left" wrapText="1"/>
    </xf>
    <xf numFmtId="0" fontId="10" fillId="0" borderId="1" xfId="258" applyNumberFormat="1" applyFont="1" applyFill="1" applyBorder="1" applyAlignment="1">
      <alignment horizontal="left" wrapText="1"/>
    </xf>
    <xf numFmtId="0" fontId="10" fillId="0" borderId="1" xfId="246" applyFont="1" applyFill="1" applyBorder="1" applyAlignment="1">
      <alignment horizontal="left" wrapText="1"/>
    </xf>
    <xf numFmtId="0" fontId="10" fillId="0" borderId="1" xfId="258" applyNumberFormat="1" applyFont="1" applyFill="1" applyBorder="1" applyAlignment="1">
      <alignment horizontal="left" vertical="center" wrapText="1"/>
    </xf>
    <xf numFmtId="0" fontId="10" fillId="0" borderId="1" xfId="246" applyFont="1" applyFill="1" applyBorder="1" applyAlignment="1">
      <alignment horizontal="left" vertical="center" wrapText="1"/>
    </xf>
    <xf numFmtId="0" fontId="8" fillId="0" borderId="1" xfId="235" applyNumberFormat="1" applyFont="1" applyBorder="1" applyAlignment="1">
      <alignment horizontal="left" wrapText="1"/>
    </xf>
    <xf numFmtId="0" fontId="8" fillId="0" borderId="1" xfId="235" applyFont="1" applyFill="1" applyBorder="1" applyAlignment="1">
      <alignment horizontal="left" wrapText="1"/>
    </xf>
    <xf numFmtId="0" fontId="10" fillId="0" borderId="1" xfId="1" applyNumberFormat="1" applyFont="1" applyFill="1" applyBorder="1" applyAlignment="1">
      <alignment horizontal="left" vertical="center" wrapText="1"/>
    </xf>
    <xf numFmtId="44" fontId="10" fillId="2" borderId="0" xfId="450" quotePrefix="1" applyFont="1" applyFill="1" applyBorder="1" applyAlignment="1" applyProtection="1">
      <alignment horizontal="center" vertical="center" wrapText="1"/>
      <protection locked="0"/>
    </xf>
    <xf numFmtId="44" fontId="11" fillId="0" borderId="0" xfId="450" applyFont="1" applyFill="1" applyBorder="1" applyAlignment="1">
      <alignment vertical="center"/>
    </xf>
    <xf numFmtId="44" fontId="12" fillId="0" borderId="0" xfId="450" applyFont="1" applyBorder="1"/>
    <xf numFmtId="44" fontId="10" fillId="0" borderId="0" xfId="450" applyFont="1" applyBorder="1" applyAlignment="1">
      <alignment horizontal="right" vertical="center"/>
    </xf>
    <xf numFmtId="44" fontId="12" fillId="10" borderId="0" xfId="450" applyFont="1" applyFill="1" applyBorder="1"/>
    <xf numFmtId="0" fontId="11" fillId="0" borderId="1" xfId="0" applyFont="1" applyFill="1" applyBorder="1" applyAlignment="1">
      <alignment horizontal="center"/>
    </xf>
    <xf numFmtId="1" fontId="20" fillId="0" borderId="1" xfId="258" applyNumberFormat="1" applyFont="1" applyFill="1" applyBorder="1" applyAlignment="1">
      <alignment horizontal="center" vertical="center"/>
    </xf>
    <xf numFmtId="49" fontId="20" fillId="0" borderId="1" xfId="258" applyNumberFormat="1" applyFont="1" applyFill="1" applyBorder="1" applyAlignment="1">
      <alignment horizontal="right" vertical="center"/>
    </xf>
    <xf numFmtId="4" fontId="20" fillId="0" borderId="1" xfId="258" applyNumberFormat="1" applyFont="1" applyFill="1" applyBorder="1" applyAlignment="1">
      <alignment vertical="center"/>
    </xf>
    <xf numFmtId="4" fontId="20" fillId="0" borderId="1" xfId="258" applyNumberFormat="1" applyFont="1" applyFill="1" applyBorder="1" applyAlignment="1">
      <alignment horizontal="right" vertical="center"/>
    </xf>
    <xf numFmtId="0" fontId="21" fillId="0" borderId="0" xfId="0" applyFont="1" applyFill="1"/>
    <xf numFmtId="0" fontId="21" fillId="0" borderId="0" xfId="0" applyFont="1"/>
    <xf numFmtId="44" fontId="22" fillId="0" borderId="0" xfId="450" applyFont="1" applyFill="1" applyBorder="1" applyAlignment="1">
      <alignment vertical="center"/>
    </xf>
    <xf numFmtId="0" fontId="22" fillId="0" borderId="0" xfId="0" applyFont="1" applyFill="1"/>
    <xf numFmtId="0" fontId="21" fillId="0" borderId="1" xfId="0" applyFont="1" applyFill="1" applyBorder="1"/>
    <xf numFmtId="44" fontId="21" fillId="0" borderId="0" xfId="450" applyFont="1" applyFill="1" applyBorder="1" applyAlignment="1">
      <alignment vertical="center"/>
    </xf>
    <xf numFmtId="0" fontId="20" fillId="0" borderId="1" xfId="1" applyFont="1" applyFill="1" applyBorder="1" applyAlignment="1">
      <alignment horizontal="left" wrapText="1"/>
    </xf>
    <xf numFmtId="0" fontId="20" fillId="0" borderId="1" xfId="1" applyFont="1" applyFill="1" applyBorder="1" applyAlignment="1">
      <alignment horizontal="center" vertical="center"/>
    </xf>
    <xf numFmtId="4" fontId="20" fillId="0" borderId="1" xfId="258" applyNumberFormat="1" applyFont="1" applyFill="1" applyBorder="1" applyAlignment="1" applyProtection="1">
      <alignment horizontal="right" vertical="center"/>
      <protection locked="0"/>
    </xf>
    <xf numFmtId="4" fontId="20" fillId="0" borderId="1" xfId="1" applyNumberFormat="1" applyFont="1" applyFill="1" applyBorder="1" applyAlignment="1">
      <alignment vertical="center"/>
    </xf>
    <xf numFmtId="0" fontId="20" fillId="0" borderId="1" xfId="258" applyNumberFormat="1" applyFont="1" applyFill="1" applyBorder="1" applyAlignment="1">
      <alignment horizontal="center" vertical="center"/>
    </xf>
    <xf numFmtId="49" fontId="20" fillId="0" borderId="1" xfId="1" applyNumberFormat="1" applyFont="1" applyFill="1" applyBorder="1" applyAlignment="1">
      <alignment horizontal="right" vertical="center"/>
    </xf>
    <xf numFmtId="0" fontId="20" fillId="0" borderId="1" xfId="1" applyFont="1" applyFill="1" applyBorder="1" applyAlignment="1">
      <alignment horizontal="left" vertical="center" wrapText="1"/>
    </xf>
    <xf numFmtId="4" fontId="20" fillId="2" borderId="1" xfId="258" applyNumberFormat="1" applyFont="1" applyFill="1" applyBorder="1" applyAlignment="1" applyProtection="1">
      <alignment vertical="center"/>
      <protection locked="0"/>
    </xf>
    <xf numFmtId="169" fontId="20" fillId="0" borderId="1" xfId="258" applyNumberFormat="1" applyFont="1" applyFill="1" applyBorder="1" applyAlignment="1">
      <alignment horizontal="right" vertical="center"/>
    </xf>
    <xf numFmtId="0" fontId="20" fillId="0" borderId="1" xfId="258" applyFont="1" applyFill="1" applyBorder="1" applyAlignment="1">
      <alignment horizontal="left" vertical="center" wrapText="1"/>
    </xf>
    <xf numFmtId="4" fontId="20" fillId="0" borderId="1" xfId="1" applyNumberFormat="1" applyFont="1" applyFill="1" applyBorder="1" applyAlignment="1" applyProtection="1">
      <alignment horizontal="right" vertical="center"/>
      <protection locked="0"/>
    </xf>
    <xf numFmtId="1" fontId="20" fillId="2" borderId="1" xfId="258" applyNumberFormat="1" applyFont="1" applyFill="1" applyBorder="1" applyAlignment="1">
      <alignment horizontal="center" vertical="center"/>
    </xf>
    <xf numFmtId="0" fontId="20" fillId="0" borderId="1" xfId="258" applyNumberFormat="1" applyFont="1" applyFill="1" applyBorder="1" applyAlignment="1">
      <alignment horizontal="right" vertical="center" wrapText="1"/>
    </xf>
    <xf numFmtId="0" fontId="21" fillId="0" borderId="1" xfId="0" applyFont="1" applyBorder="1"/>
    <xf numFmtId="0" fontId="20" fillId="0" borderId="1" xfId="258" applyNumberFormat="1" applyFont="1" applyFill="1" applyBorder="1" applyAlignment="1">
      <alignment horizontal="left" vertical="center" wrapText="1"/>
    </xf>
    <xf numFmtId="0" fontId="20" fillId="0" borderId="1" xfId="258" applyFont="1" applyBorder="1" applyAlignment="1">
      <alignment horizontal="center" vertical="center"/>
    </xf>
    <xf numFmtId="4" fontId="20" fillId="0" borderId="1" xfId="245" applyNumberFormat="1" applyFont="1" applyFill="1" applyBorder="1" applyAlignment="1" applyProtection="1">
      <alignment vertical="center"/>
      <protection locked="0"/>
    </xf>
    <xf numFmtId="4" fontId="20" fillId="0" borderId="1" xfId="235" applyNumberFormat="1" applyFont="1" applyFill="1" applyBorder="1" applyAlignment="1">
      <alignment vertical="center"/>
    </xf>
    <xf numFmtId="0" fontId="11" fillId="0" borderId="1" xfId="0" applyFont="1" applyBorder="1" applyAlignment="1">
      <alignment horizontal="left" wrapText="1"/>
    </xf>
    <xf numFmtId="0" fontId="12" fillId="0" borderId="1" xfId="0" applyFont="1" applyFill="1" applyBorder="1" applyAlignment="1">
      <alignment horizontal="left" wrapText="1"/>
    </xf>
    <xf numFmtId="0" fontId="11" fillId="0" borderId="1" xfId="0" applyFont="1" applyFill="1" applyBorder="1" applyAlignment="1">
      <alignment horizontal="left" wrapText="1"/>
    </xf>
    <xf numFmtId="0" fontId="12" fillId="0" borderId="1" xfId="0" applyFont="1" applyBorder="1" applyAlignment="1">
      <alignment horizontal="left" vertical="center" wrapText="1"/>
    </xf>
    <xf numFmtId="0" fontId="12" fillId="0" borderId="1" xfId="0" applyFont="1" applyBorder="1" applyAlignment="1">
      <alignment horizontal="left" wrapText="1"/>
    </xf>
    <xf numFmtId="49" fontId="12" fillId="0" borderId="1" xfId="0" applyNumberFormat="1" applyFont="1" applyBorder="1" applyAlignment="1">
      <alignment horizontal="left" wrapText="1"/>
    </xf>
    <xf numFmtId="0" fontId="11" fillId="0" borderId="0" xfId="0" applyFont="1" applyAlignment="1">
      <alignment horizontal="left" wrapText="1"/>
    </xf>
    <xf numFmtId="0" fontId="12" fillId="11" borderId="1" xfId="0" applyFont="1" applyFill="1" applyBorder="1" applyAlignment="1">
      <alignment horizontal="center"/>
    </xf>
    <xf numFmtId="0" fontId="11" fillId="11" borderId="1" xfId="0" applyFont="1" applyFill="1" applyBorder="1"/>
    <xf numFmtId="0" fontId="12" fillId="11" borderId="1" xfId="0" applyFont="1" applyFill="1" applyBorder="1"/>
    <xf numFmtId="0" fontId="12" fillId="11" borderId="1" xfId="0" applyFont="1" applyFill="1" applyBorder="1" applyAlignment="1">
      <alignment horizontal="left" wrapText="1"/>
    </xf>
    <xf numFmtId="44" fontId="11" fillId="11" borderId="0" xfId="450" applyFont="1" applyFill="1" applyBorder="1"/>
    <xf numFmtId="0" fontId="11" fillId="11" borderId="0" xfId="0" applyFont="1" applyFill="1"/>
    <xf numFmtId="0" fontId="10" fillId="0" borderId="1" xfId="258" applyFont="1" applyFill="1" applyBorder="1" applyAlignment="1">
      <alignment horizontal="right" wrapText="1"/>
    </xf>
    <xf numFmtId="0" fontId="10" fillId="0" borderId="1" xfId="258" applyNumberFormat="1" applyFont="1" applyFill="1" applyBorder="1" applyAlignment="1">
      <alignment horizontal="right" wrapText="1"/>
    </xf>
    <xf numFmtId="0" fontId="11" fillId="11" borderId="1" xfId="0" applyFont="1" applyFill="1" applyBorder="1" applyAlignment="1">
      <alignment horizontal="center"/>
    </xf>
    <xf numFmtId="44" fontId="11" fillId="11" borderId="0" xfId="450" applyFont="1" applyFill="1" applyBorder="1" applyAlignment="1">
      <alignment vertical="center"/>
    </xf>
    <xf numFmtId="1" fontId="10" fillId="11" borderId="1" xfId="258" applyNumberFormat="1" applyFont="1" applyFill="1" applyBorder="1" applyAlignment="1">
      <alignment horizontal="center" vertical="center"/>
    </xf>
    <xf numFmtId="169" fontId="8" fillId="11" borderId="1" xfId="258" applyNumberFormat="1" applyFont="1" applyFill="1" applyBorder="1" applyAlignment="1">
      <alignment horizontal="right" vertical="center"/>
    </xf>
    <xf numFmtId="0" fontId="10" fillId="11" borderId="1" xfId="258" applyFont="1" applyFill="1" applyBorder="1" applyAlignment="1">
      <alignment horizontal="left" vertical="center" wrapText="1"/>
    </xf>
    <xf numFmtId="0" fontId="10" fillId="11" borderId="1" xfId="258" applyFont="1" applyFill="1" applyBorder="1" applyAlignment="1">
      <alignment horizontal="center" vertical="center"/>
    </xf>
    <xf numFmtId="4" fontId="10" fillId="11" borderId="1" xfId="258" applyNumberFormat="1" applyFont="1" applyFill="1" applyBorder="1" applyAlignment="1" applyProtection="1">
      <alignment horizontal="right" vertical="center"/>
      <protection locked="0"/>
    </xf>
    <xf numFmtId="4" fontId="8" fillId="11" borderId="1" xfId="258" applyNumberFormat="1" applyFont="1" applyFill="1" applyBorder="1" applyAlignment="1">
      <alignment horizontal="right" vertical="center"/>
    </xf>
    <xf numFmtId="1" fontId="10" fillId="0" borderId="1" xfId="1" applyNumberFormat="1" applyFont="1" applyFill="1" applyBorder="1" applyAlignment="1">
      <alignment horizontal="center"/>
    </xf>
    <xf numFmtId="0" fontId="12" fillId="0" borderId="1" xfId="0" applyFont="1" applyBorder="1" applyAlignment="1">
      <alignment horizontal="right" wrapText="1"/>
    </xf>
    <xf numFmtId="0" fontId="10" fillId="0" borderId="1" xfId="245" applyFont="1" applyFill="1" applyBorder="1" applyAlignment="1">
      <alignment horizontal="right" wrapText="1"/>
    </xf>
    <xf numFmtId="0" fontId="10" fillId="0" borderId="1" xfId="235" applyNumberFormat="1" applyFont="1" applyBorder="1" applyAlignment="1">
      <alignment horizontal="right" wrapText="1"/>
    </xf>
    <xf numFmtId="0" fontId="10" fillId="0" borderId="1" xfId="235" applyFont="1" applyFill="1" applyBorder="1" applyAlignment="1">
      <alignment horizontal="right" wrapText="1"/>
    </xf>
    <xf numFmtId="0" fontId="10" fillId="0" borderId="1" xfId="235" applyFont="1" applyFill="1" applyBorder="1" applyAlignment="1">
      <alignment horizontal="right" vertical="center" wrapText="1"/>
    </xf>
    <xf numFmtId="0" fontId="10" fillId="0" borderId="1" xfId="1" applyFont="1" applyBorder="1" applyAlignment="1">
      <alignment horizontal="right" wrapText="1"/>
    </xf>
    <xf numFmtId="0" fontId="12" fillId="9" borderId="1" xfId="0" applyFont="1" applyFill="1" applyBorder="1" applyAlignment="1">
      <alignment horizontal="right" wrapText="1"/>
    </xf>
    <xf numFmtId="0" fontId="8" fillId="2" borderId="0" xfId="0" applyNumberFormat="1" applyFont="1" applyFill="1" applyBorder="1" applyAlignment="1">
      <alignment horizontal="left"/>
    </xf>
    <xf numFmtId="4" fontId="8" fillId="2" borderId="0" xfId="0" applyNumberFormat="1" applyFont="1" applyFill="1" applyAlignment="1"/>
    <xf numFmtId="4" fontId="11" fillId="0" borderId="1" xfId="450" applyNumberFormat="1" applyFont="1" applyFill="1" applyBorder="1" applyAlignment="1">
      <alignment vertical="center"/>
    </xf>
    <xf numFmtId="4" fontId="12" fillId="0" borderId="1" xfId="450" applyNumberFormat="1" applyFont="1" applyFill="1" applyBorder="1" applyAlignment="1">
      <alignment vertical="center"/>
    </xf>
    <xf numFmtId="4" fontId="11" fillId="11" borderId="1" xfId="0" applyNumberFormat="1" applyFont="1" applyFill="1" applyBorder="1"/>
    <xf numFmtId="4" fontId="11" fillId="0" borderId="1" xfId="454" applyNumberFormat="1" applyFont="1" applyFill="1" applyBorder="1" applyAlignment="1">
      <alignment vertical="center"/>
    </xf>
    <xf numFmtId="0" fontId="2" fillId="0" borderId="1" xfId="1" applyBorder="1"/>
    <xf numFmtId="4" fontId="21" fillId="0" borderId="1" xfId="454" applyNumberFormat="1" applyFont="1" applyFill="1" applyBorder="1" applyAlignment="1">
      <alignment vertical="center"/>
    </xf>
    <xf numFmtId="4" fontId="12" fillId="10" borderId="1" xfId="0" applyNumberFormat="1" applyFont="1" applyFill="1" applyBorder="1"/>
    <xf numFmtId="4" fontId="11" fillId="11" borderId="1" xfId="454" applyNumberFormat="1" applyFont="1" applyFill="1" applyBorder="1" applyAlignment="1">
      <alignment vertical="center"/>
    </xf>
    <xf numFmtId="4" fontId="11" fillId="11" borderId="1" xfId="450" applyNumberFormat="1" applyFont="1" applyFill="1" applyBorder="1" applyAlignment="1">
      <alignment vertical="center"/>
    </xf>
    <xf numFmtId="0" fontId="10" fillId="11" borderId="1" xfId="258" applyNumberFormat="1" applyFont="1" applyFill="1" applyBorder="1" applyAlignment="1">
      <alignment horizontal="right" vertical="center" wrapText="1"/>
    </xf>
    <xf numFmtId="0" fontId="10" fillId="11" borderId="1" xfId="258" applyNumberFormat="1" applyFont="1" applyFill="1" applyBorder="1" applyAlignment="1">
      <alignment horizontal="left" wrapText="1"/>
    </xf>
    <xf numFmtId="0" fontId="8" fillId="11" borderId="1" xfId="258" applyNumberFormat="1" applyFont="1" applyFill="1" applyBorder="1" applyAlignment="1">
      <alignment horizontal="center" vertical="center"/>
    </xf>
    <xf numFmtId="4" fontId="8" fillId="11" borderId="1" xfId="258" applyNumberFormat="1" applyFont="1" applyFill="1" applyBorder="1" applyAlignment="1" applyProtection="1">
      <alignment horizontal="right" vertical="center"/>
      <protection locked="0"/>
    </xf>
    <xf numFmtId="0" fontId="12" fillId="11" borderId="5" xfId="0" applyFont="1" applyFill="1" applyBorder="1" applyAlignment="1">
      <alignment horizontal="center"/>
    </xf>
    <xf numFmtId="0" fontId="11" fillId="11" borderId="5" xfId="0" applyFont="1" applyFill="1" applyBorder="1"/>
    <xf numFmtId="0" fontId="12" fillId="11" borderId="5" xfId="0" applyFont="1" applyFill="1" applyBorder="1"/>
    <xf numFmtId="0" fontId="12" fillId="11" borderId="5" xfId="0" applyFont="1" applyFill="1" applyBorder="1" applyAlignment="1">
      <alignment horizontal="left" wrapText="1"/>
    </xf>
    <xf numFmtId="4" fontId="11" fillId="11" borderId="5" xfId="0" applyNumberFormat="1" applyFont="1" applyFill="1" applyBorder="1"/>
    <xf numFmtId="4" fontId="11" fillId="11" borderId="5" xfId="450" applyNumberFormat="1" applyFont="1" applyFill="1" applyBorder="1"/>
    <xf numFmtId="0" fontId="10" fillId="12" borderId="7" xfId="0" applyNumberFormat="1" applyFont="1" applyFill="1" applyBorder="1" applyAlignment="1">
      <alignment horizontal="center" vertical="center" wrapText="1"/>
    </xf>
    <xf numFmtId="1" fontId="10" fillId="12" borderId="8" xfId="0" applyNumberFormat="1" applyFont="1" applyFill="1" applyBorder="1" applyAlignment="1">
      <alignment horizontal="center" vertical="center" wrapText="1"/>
    </xf>
    <xf numFmtId="0" fontId="10" fillId="12" borderId="8" xfId="0" applyNumberFormat="1" applyFont="1" applyFill="1" applyBorder="1" applyAlignment="1">
      <alignment horizontal="center" vertical="center" wrapText="1"/>
    </xf>
    <xf numFmtId="0" fontId="10" fillId="12" borderId="8" xfId="0" applyFont="1" applyFill="1" applyBorder="1" applyAlignment="1">
      <alignment horizontal="left" vertical="center" wrapText="1"/>
    </xf>
    <xf numFmtId="0" fontId="10" fillId="6" borderId="8" xfId="258" applyFont="1" applyFill="1" applyBorder="1" applyAlignment="1" applyProtection="1">
      <alignment horizontal="center" vertical="center" wrapText="1"/>
      <protection locked="0"/>
    </xf>
    <xf numFmtId="4" fontId="10" fillId="6" borderId="8" xfId="258" applyNumberFormat="1" applyFont="1" applyFill="1" applyBorder="1" applyAlignment="1" applyProtection="1">
      <alignment horizontal="center" vertical="center" wrapText="1"/>
      <protection locked="0"/>
    </xf>
    <xf numFmtId="0" fontId="10" fillId="6" borderId="8" xfId="235" applyFont="1" applyFill="1" applyBorder="1" applyAlignment="1" applyProtection="1">
      <alignment horizontal="center" vertical="center" wrapText="1"/>
      <protection locked="0"/>
    </xf>
    <xf numFmtId="4" fontId="10" fillId="6" borderId="9" xfId="450" quotePrefix="1" applyNumberFormat="1" applyFont="1" applyFill="1" applyBorder="1" applyAlignment="1" applyProtection="1">
      <alignment horizontal="center" vertical="center" wrapText="1"/>
      <protection locked="0"/>
    </xf>
    <xf numFmtId="4" fontId="21" fillId="0" borderId="1" xfId="0" applyNumberFormat="1" applyFont="1" applyFill="1" applyBorder="1"/>
    <xf numFmtId="4" fontId="11" fillId="0" borderId="1" xfId="450" applyNumberFormat="1" applyFont="1" applyFill="1" applyBorder="1"/>
    <xf numFmtId="4" fontId="12" fillId="0" borderId="1" xfId="450" applyNumberFormat="1" applyFont="1" applyFill="1" applyBorder="1"/>
    <xf numFmtId="4" fontId="11" fillId="10" borderId="1" xfId="0" applyNumberFormat="1" applyFont="1" applyFill="1" applyBorder="1"/>
    <xf numFmtId="4" fontId="13" fillId="0" borderId="1" xfId="1" applyNumberFormat="1" applyFont="1" applyFill="1" applyBorder="1" applyAlignment="1" applyProtection="1">
      <protection locked="0"/>
    </xf>
    <xf numFmtId="4" fontId="13" fillId="0" borderId="1" xfId="1" applyNumberFormat="1" applyFont="1" applyFill="1" applyBorder="1" applyAlignment="1">
      <alignment horizontal="right"/>
    </xf>
    <xf numFmtId="4" fontId="25" fillId="0" borderId="1" xfId="450" applyNumberFormat="1" applyFont="1" applyFill="1" applyBorder="1"/>
    <xf numFmtId="4" fontId="25" fillId="0" borderId="1" xfId="450" applyNumberFormat="1" applyFont="1" applyFill="1" applyBorder="1" applyAlignment="1">
      <alignment vertical="center"/>
    </xf>
    <xf numFmtId="4" fontId="25" fillId="0" borderId="1" xfId="0" applyNumberFormat="1" applyFont="1" applyFill="1" applyBorder="1"/>
    <xf numFmtId="4" fontId="12" fillId="0" borderId="1" xfId="454" applyNumberFormat="1" applyFont="1" applyFill="1" applyBorder="1" applyAlignment="1">
      <alignment vertical="center"/>
    </xf>
    <xf numFmtId="4" fontId="25" fillId="0" borderId="1" xfId="454" applyNumberFormat="1" applyFont="1" applyFill="1" applyBorder="1" applyAlignment="1">
      <alignment vertical="center"/>
    </xf>
    <xf numFmtId="4" fontId="12" fillId="0" borderId="1" xfId="0" applyNumberFormat="1" applyFont="1" applyFill="1" applyBorder="1" applyAlignment="1">
      <alignment horizontal="right"/>
    </xf>
    <xf numFmtId="4" fontId="24" fillId="0" borderId="1" xfId="0" applyNumberFormat="1" applyFont="1" applyFill="1" applyBorder="1" applyAlignment="1">
      <alignment horizontal="right"/>
    </xf>
    <xf numFmtId="4" fontId="25" fillId="0" borderId="1" xfId="0" applyNumberFormat="1" applyFont="1" applyFill="1" applyBorder="1" applyAlignment="1">
      <alignment horizontal="right"/>
    </xf>
    <xf numFmtId="0" fontId="25" fillId="0" borderId="1" xfId="0" applyFont="1" applyFill="1" applyBorder="1" applyAlignment="1">
      <alignment horizontal="right" wrapText="1"/>
    </xf>
    <xf numFmtId="0" fontId="25" fillId="0" borderId="1" xfId="0" applyFont="1" applyBorder="1" applyAlignment="1">
      <alignment horizontal="right" wrapText="1"/>
    </xf>
    <xf numFmtId="0" fontId="23" fillId="0" borderId="1" xfId="1" applyFont="1" applyFill="1" applyBorder="1" applyAlignment="1">
      <alignment horizontal="right" vertical="center" wrapText="1"/>
    </xf>
    <xf numFmtId="0" fontId="23" fillId="0" borderId="1" xfId="246" applyFont="1" applyFill="1" applyBorder="1" applyAlignment="1">
      <alignment horizontal="right" vertical="center" wrapText="1"/>
    </xf>
    <xf numFmtId="4" fontId="23" fillId="0" borderId="1" xfId="246" applyNumberFormat="1" applyFont="1" applyFill="1" applyBorder="1" applyProtection="1">
      <protection locked="0"/>
    </xf>
    <xf numFmtId="4" fontId="25" fillId="0" borderId="1" xfId="450" applyNumberFormat="1" applyFont="1" applyFill="1" applyBorder="1" applyAlignment="1">
      <alignment horizontal="right"/>
    </xf>
    <xf numFmtId="0" fontId="23" fillId="0" borderId="1" xfId="246" applyFont="1" applyFill="1" applyBorder="1" applyAlignment="1">
      <alignment horizontal="right" wrapText="1"/>
    </xf>
    <xf numFmtId="4" fontId="24" fillId="0" borderId="1" xfId="454" applyNumberFormat="1" applyFont="1" applyFill="1" applyBorder="1" applyAlignment="1">
      <alignment vertical="center"/>
    </xf>
    <xf numFmtId="4" fontId="24" fillId="0" borderId="1" xfId="450" applyNumberFormat="1" applyFont="1" applyFill="1" applyBorder="1" applyAlignment="1">
      <alignment vertical="center"/>
    </xf>
    <xf numFmtId="0" fontId="11" fillId="0" borderId="0" xfId="0" applyFont="1" applyAlignment="1">
      <alignment horizontal="center"/>
    </xf>
    <xf numFmtId="2" fontId="11" fillId="0" borderId="0" xfId="0" applyNumberFormat="1" applyFont="1"/>
    <xf numFmtId="0" fontId="21" fillId="0" borderId="1" xfId="0" applyFont="1" applyBorder="1" applyAlignment="1">
      <alignment horizontal="center"/>
    </xf>
    <xf numFmtId="0" fontId="21" fillId="2" borderId="1" xfId="0" applyFont="1" applyFill="1" applyBorder="1"/>
    <xf numFmtId="0" fontId="26" fillId="0" borderId="1" xfId="0" applyFont="1" applyBorder="1" applyAlignment="1">
      <alignment horizontal="center"/>
    </xf>
    <xf numFmtId="0" fontId="26" fillId="0" borderId="1" xfId="0" applyFont="1" applyBorder="1"/>
    <xf numFmtId="0" fontId="26" fillId="2" borderId="1" xfId="0" applyFont="1" applyFill="1" applyBorder="1"/>
    <xf numFmtId="0" fontId="26" fillId="0" borderId="0" xfId="0" applyFont="1" applyFill="1"/>
    <xf numFmtId="0" fontId="26" fillId="0" borderId="0" xfId="0" applyFont="1"/>
    <xf numFmtId="0" fontId="21" fillId="0" borderId="1" xfId="0" applyFont="1" applyFill="1" applyBorder="1" applyAlignment="1">
      <alignment horizontal="center"/>
    </xf>
    <xf numFmtId="0" fontId="25" fillId="0" borderId="1" xfId="0" applyFont="1" applyBorder="1" applyAlignment="1">
      <alignment horizontal="center"/>
    </xf>
    <xf numFmtId="0" fontId="25" fillId="0" borderId="1" xfId="0" applyFont="1" applyBorder="1"/>
    <xf numFmtId="0" fontId="25" fillId="2" borderId="1" xfId="0" applyFont="1" applyFill="1" applyBorder="1"/>
    <xf numFmtId="0" fontId="25" fillId="0" borderId="0" xfId="0" applyFont="1" applyFill="1"/>
    <xf numFmtId="0" fontId="25" fillId="0" borderId="0" xfId="0" applyFont="1"/>
    <xf numFmtId="4" fontId="25" fillId="0" borderId="1" xfId="450" applyNumberFormat="1" applyFont="1" applyBorder="1"/>
    <xf numFmtId="44" fontId="25" fillId="0" borderId="0" xfId="450" applyFont="1" applyBorder="1"/>
    <xf numFmtId="2" fontId="8" fillId="2" borderId="0" xfId="0" applyNumberFormat="1" applyFont="1" applyFill="1" applyAlignment="1"/>
    <xf numFmtId="2" fontId="10" fillId="2" borderId="0" xfId="450" quotePrefix="1" applyNumberFormat="1" applyFont="1" applyFill="1" applyBorder="1" applyAlignment="1" applyProtection="1">
      <alignment horizontal="center" vertical="center" wrapText="1"/>
      <protection locked="0"/>
    </xf>
    <xf numFmtId="2" fontId="11" fillId="11" borderId="0" xfId="450" applyNumberFormat="1" applyFont="1" applyFill="1" applyBorder="1"/>
    <xf numFmtId="2" fontId="11" fillId="0" borderId="0" xfId="450" applyNumberFormat="1" applyFont="1" applyFill="1" applyBorder="1" applyAlignment="1">
      <alignment vertical="center"/>
    </xf>
    <xf numFmtId="0" fontId="11" fillId="2" borderId="0" xfId="0" applyFont="1" applyFill="1" applyAlignment="1">
      <alignment horizontal="center"/>
    </xf>
    <xf numFmtId="0" fontId="11" fillId="2" borderId="0" xfId="0" applyFont="1" applyFill="1" applyAlignment="1">
      <alignment horizontal="left" wrapText="1"/>
    </xf>
    <xf numFmtId="4" fontId="11" fillId="2" borderId="0" xfId="0" applyNumberFormat="1" applyFont="1" applyFill="1"/>
    <xf numFmtId="43" fontId="11" fillId="2" borderId="0" xfId="0" applyNumberFormat="1" applyFont="1" applyFill="1" applyAlignment="1">
      <alignment horizontal="left" wrapText="1"/>
    </xf>
    <xf numFmtId="44" fontId="11" fillId="2" borderId="0" xfId="0" applyNumberFormat="1" applyFont="1" applyFill="1" applyAlignment="1">
      <alignment horizontal="left" wrapText="1"/>
    </xf>
    <xf numFmtId="43" fontId="11" fillId="2" borderId="0" xfId="0" applyNumberFormat="1" applyFont="1" applyFill="1"/>
    <xf numFmtId="4" fontId="11" fillId="2" borderId="0" xfId="0" applyNumberFormat="1" applyFont="1" applyFill="1" applyBorder="1"/>
    <xf numFmtId="0" fontId="8" fillId="2" borderId="0"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0" fontId="8" fillId="2" borderId="0" xfId="0" applyFont="1" applyFill="1" applyAlignment="1">
      <alignment vertical="center"/>
    </xf>
    <xf numFmtId="0" fontId="29" fillId="2" borderId="1" xfId="0" applyFont="1" applyFill="1" applyBorder="1" applyAlignment="1">
      <alignment horizontal="center" vertical="center" wrapText="1"/>
    </xf>
    <xf numFmtId="2" fontId="29" fillId="2" borderId="1" xfId="0" applyNumberFormat="1" applyFont="1" applyFill="1" applyBorder="1" applyAlignment="1">
      <alignment horizontal="center" vertical="center" wrapText="1"/>
    </xf>
    <xf numFmtId="0" fontId="8" fillId="0" borderId="0" xfId="0" applyFont="1" applyFill="1" applyAlignment="1">
      <alignment vertical="center"/>
    </xf>
    <xf numFmtId="0" fontId="30" fillId="0" borderId="1" xfId="0" applyFont="1" applyFill="1" applyBorder="1" applyAlignment="1">
      <alignment vertical="center"/>
    </xf>
    <xf numFmtId="2" fontId="31" fillId="0" borderId="1" xfId="0" applyNumberFormat="1" applyFont="1" applyFill="1" applyBorder="1" applyAlignment="1">
      <alignment horizontal="center" vertical="center"/>
    </xf>
    <xf numFmtId="10" fontId="31" fillId="0" borderId="1" xfId="0" applyNumberFormat="1" applyFont="1" applyFill="1" applyBorder="1" applyAlignment="1">
      <alignment horizontal="center" vertical="center"/>
    </xf>
    <xf numFmtId="10" fontId="30" fillId="0" borderId="1" xfId="0" applyNumberFormat="1" applyFont="1" applyFill="1" applyBorder="1" applyAlignment="1" applyProtection="1">
      <alignment horizontal="center" vertical="center"/>
      <protection locked="0"/>
    </xf>
    <xf numFmtId="0" fontId="0" fillId="2" borderId="0" xfId="0" applyFill="1" applyAlignment="1">
      <alignment vertical="center"/>
    </xf>
    <xf numFmtId="2" fontId="0" fillId="2" borderId="0" xfId="0" applyNumberFormat="1" applyFill="1" applyAlignment="1">
      <alignment vertical="center"/>
    </xf>
    <xf numFmtId="0" fontId="0" fillId="2" borderId="0" xfId="0" applyFill="1" applyAlignment="1">
      <alignment horizontal="center" vertical="center"/>
    </xf>
    <xf numFmtId="10" fontId="32" fillId="2" borderId="1" xfId="0" applyNumberFormat="1" applyFont="1" applyFill="1" applyBorder="1" applyAlignment="1">
      <alignment horizontal="center" vertical="center"/>
    </xf>
    <xf numFmtId="0" fontId="8" fillId="2" borderId="0" xfId="234" applyFont="1" applyFill="1" applyAlignment="1">
      <alignment horizontal="center" vertical="center"/>
    </xf>
    <xf numFmtId="0" fontId="8" fillId="2" borderId="0" xfId="0" applyNumberFormat="1" applyFont="1" applyFill="1" applyBorder="1" applyAlignment="1">
      <alignment horizontal="right" vertical="center"/>
    </xf>
    <xf numFmtId="10" fontId="29" fillId="2" borderId="1" xfId="0" applyNumberFormat="1" applyFont="1" applyFill="1" applyBorder="1" applyAlignment="1">
      <alignment horizontal="center" vertical="center"/>
    </xf>
    <xf numFmtId="0" fontId="33" fillId="2" borderId="0" xfId="0" applyFont="1" applyFill="1" applyAlignment="1">
      <alignment vertical="center"/>
    </xf>
    <xf numFmtId="0" fontId="29" fillId="2" borderId="0" xfId="0" applyFont="1" applyFill="1" applyBorder="1" applyAlignment="1">
      <alignment vertical="center"/>
    </xf>
    <xf numFmtId="10" fontId="29" fillId="2" borderId="0" xfId="0" applyNumberFormat="1" applyFont="1" applyFill="1" applyBorder="1" applyAlignment="1">
      <alignment horizontal="center" vertical="center"/>
    </xf>
    <xf numFmtId="0" fontId="8" fillId="2" borderId="0" xfId="0" applyFont="1" applyFill="1" applyBorder="1" applyAlignment="1">
      <alignment horizontal="justify" vertical="center"/>
    </xf>
    <xf numFmtId="173" fontId="8" fillId="2" borderId="0" xfId="448" applyFont="1" applyFill="1" applyBorder="1" applyAlignment="1">
      <alignment horizontal="center" vertical="center"/>
    </xf>
    <xf numFmtId="2" fontId="8" fillId="2" borderId="0" xfId="234" applyNumberFormat="1" applyFont="1" applyFill="1" applyBorder="1" applyAlignment="1">
      <alignment vertical="center"/>
    </xf>
    <xf numFmtId="0" fontId="8" fillId="2" borderId="0" xfId="234" applyFont="1" applyFill="1" applyBorder="1" applyAlignment="1">
      <alignment horizontal="right" vertical="center"/>
    </xf>
    <xf numFmtId="2" fontId="8" fillId="2" borderId="0" xfId="0" applyNumberFormat="1" applyFont="1" applyFill="1" applyAlignment="1">
      <alignment horizontal="center" vertical="center"/>
    </xf>
    <xf numFmtId="2" fontId="17" fillId="2" borderId="0" xfId="448" applyNumberFormat="1" applyFont="1" applyFill="1" applyBorder="1" applyAlignment="1">
      <alignment horizontal="center" vertical="center"/>
    </xf>
    <xf numFmtId="0" fontId="8" fillId="2" borderId="0" xfId="0" applyFont="1" applyFill="1" applyBorder="1" applyAlignment="1">
      <alignment horizontal="center" vertical="center"/>
    </xf>
    <xf numFmtId="173" fontId="8" fillId="2" borderId="0" xfId="449" applyFont="1" applyFill="1" applyAlignment="1">
      <alignment vertical="center"/>
    </xf>
    <xf numFmtId="0" fontId="8" fillId="2" borderId="0" xfId="0" applyNumberFormat="1" applyFont="1" applyFill="1" applyBorder="1" applyAlignment="1">
      <alignment vertical="center" wrapText="1"/>
    </xf>
    <xf numFmtId="173" fontId="9" fillId="2" borderId="0" xfId="449" applyFont="1" applyFill="1" applyAlignment="1">
      <alignment vertical="center"/>
    </xf>
    <xf numFmtId="0" fontId="8" fillId="2" borderId="0" xfId="0" applyNumberFormat="1" applyFont="1" applyFill="1" applyAlignment="1">
      <alignment horizontal="center" vertical="center"/>
    </xf>
    <xf numFmtId="0" fontId="10" fillId="2" borderId="0" xfId="0" applyFont="1" applyFill="1" applyAlignment="1">
      <alignment horizontal="left" vertical="center"/>
    </xf>
    <xf numFmtId="0" fontId="8" fillId="2" borderId="0" xfId="0" applyFont="1" applyFill="1" applyAlignment="1">
      <alignment horizontal="left" vertical="center"/>
    </xf>
    <xf numFmtId="4" fontId="11" fillId="2" borderId="0" xfId="0" applyNumberFormat="1" applyFont="1" applyFill="1" applyBorder="1" applyAlignment="1">
      <alignment horizontal="center"/>
    </xf>
    <xf numFmtId="0" fontId="8" fillId="2" borderId="0" xfId="0" applyFont="1" applyFill="1" applyBorder="1" applyAlignment="1">
      <alignment horizontal="left" vertical="center"/>
    </xf>
    <xf numFmtId="0" fontId="8" fillId="2" borderId="0" xfId="0" applyFont="1" applyFill="1" applyBorder="1" applyAlignment="1">
      <alignment vertical="center"/>
    </xf>
    <xf numFmtId="0" fontId="17" fillId="2" borderId="0" xfId="0" applyNumberFormat="1" applyFont="1" applyFill="1" applyBorder="1" applyAlignment="1">
      <alignment horizontal="center" vertical="center"/>
    </xf>
    <xf numFmtId="1" fontId="17" fillId="2" borderId="0" xfId="0" applyNumberFormat="1" applyFont="1" applyFill="1" applyBorder="1" applyAlignment="1">
      <alignment horizontal="center" vertical="center"/>
    </xf>
    <xf numFmtId="0" fontId="17" fillId="2" borderId="1" xfId="234" applyNumberFormat="1" applyFont="1" applyFill="1" applyBorder="1" applyAlignment="1">
      <alignment horizontal="center" vertical="center"/>
    </xf>
    <xf numFmtId="49" fontId="17" fillId="2" borderId="1" xfId="234" applyNumberFormat="1" applyFont="1" applyFill="1" applyBorder="1" applyAlignment="1">
      <alignment horizontal="center" vertical="center" wrapText="1"/>
    </xf>
    <xf numFmtId="9" fontId="17" fillId="2" borderId="1" xfId="234" applyNumberFormat="1" applyFont="1" applyFill="1" applyBorder="1" applyAlignment="1">
      <alignment horizontal="center" vertical="center" wrapText="1"/>
    </xf>
    <xf numFmtId="4" fontId="17" fillId="2" borderId="0" xfId="448" applyNumberFormat="1" applyFont="1" applyFill="1" applyBorder="1" applyAlignment="1">
      <alignment vertical="center"/>
    </xf>
    <xf numFmtId="173" fontId="8" fillId="2" borderId="0" xfId="449" applyFont="1" applyFill="1" applyBorder="1" applyAlignment="1">
      <alignment vertical="center"/>
    </xf>
    <xf numFmtId="49" fontId="9" fillId="2" borderId="1" xfId="234" applyNumberFormat="1" applyFont="1" applyFill="1" applyBorder="1" applyAlignment="1">
      <alignment vertical="center" wrapText="1"/>
    </xf>
    <xf numFmtId="0" fontId="10" fillId="2" borderId="1" xfId="234" applyNumberFormat="1" applyFont="1" applyFill="1" applyBorder="1" applyAlignment="1" applyProtection="1">
      <alignment horizontal="center" vertical="center"/>
    </xf>
    <xf numFmtId="0" fontId="8" fillId="2" borderId="1" xfId="234" applyFont="1" applyFill="1" applyBorder="1" applyAlignment="1" applyProtection="1">
      <alignment vertical="center" wrapText="1"/>
    </xf>
    <xf numFmtId="14" fontId="8" fillId="2" borderId="1" xfId="234" applyNumberFormat="1" applyFont="1" applyFill="1" applyBorder="1" applyAlignment="1" applyProtection="1">
      <alignment horizontal="center" vertical="center" wrapText="1"/>
    </xf>
    <xf numFmtId="0" fontId="10" fillId="2" borderId="1" xfId="234" applyNumberFormat="1" applyFont="1" applyFill="1" applyBorder="1" applyAlignment="1">
      <alignment horizontal="center" vertical="center"/>
    </xf>
    <xf numFmtId="49" fontId="8" fillId="2" borderId="1" xfId="234" applyNumberFormat="1" applyFont="1" applyFill="1" applyBorder="1" applyAlignment="1">
      <alignment vertical="center" wrapText="1"/>
    </xf>
    <xf numFmtId="177" fontId="9" fillId="2" borderId="1" xfId="234" applyNumberFormat="1" applyFont="1" applyFill="1" applyBorder="1" applyAlignment="1">
      <alignment horizontal="center" vertical="center" wrapText="1"/>
    </xf>
    <xf numFmtId="44" fontId="11" fillId="13" borderId="0" xfId="450" applyFont="1" applyFill="1" applyBorder="1" applyAlignment="1">
      <alignment vertical="center"/>
    </xf>
    <xf numFmtId="2" fontId="11" fillId="13" borderId="0" xfId="450" applyNumberFormat="1" applyFont="1" applyFill="1" applyBorder="1" applyAlignment="1">
      <alignment vertical="center"/>
    </xf>
    <xf numFmtId="0" fontId="11" fillId="13" borderId="0" xfId="0" applyFont="1" applyFill="1"/>
    <xf numFmtId="0" fontId="11" fillId="14" borderId="0" xfId="0" applyFont="1" applyFill="1"/>
    <xf numFmtId="4" fontId="12" fillId="0" borderId="1" xfId="450" applyNumberFormat="1" applyFont="1" applyFill="1" applyBorder="1" applyAlignment="1">
      <alignment horizontal="right"/>
    </xf>
    <xf numFmtId="4" fontId="12" fillId="0" borderId="1" xfId="454" applyNumberFormat="1" applyFont="1" applyFill="1" applyBorder="1" applyAlignment="1">
      <alignment horizontal="left" vertical="center"/>
    </xf>
    <xf numFmtId="4" fontId="10" fillId="0" borderId="1" xfId="258" applyNumberFormat="1" applyFont="1" applyFill="1" applyBorder="1" applyAlignment="1">
      <alignment horizontal="right" wrapText="1"/>
    </xf>
    <xf numFmtId="4" fontId="8" fillId="0" borderId="1" xfId="213" applyNumberFormat="1" applyFont="1" applyFill="1" applyBorder="1" applyAlignment="1">
      <alignment horizontal="center" vertical="center" wrapText="1"/>
    </xf>
    <xf numFmtId="0" fontId="31" fillId="0" borderId="1" xfId="0" applyFont="1" applyFill="1" applyBorder="1" applyAlignment="1">
      <alignment vertical="center"/>
    </xf>
    <xf numFmtId="0" fontId="31" fillId="0" borderId="1" xfId="0" applyFont="1" applyFill="1" applyBorder="1" applyAlignment="1" applyProtection="1">
      <alignment vertical="center"/>
      <protection locked="0"/>
    </xf>
    <xf numFmtId="0" fontId="10" fillId="2" borderId="0" xfId="0" applyFont="1" applyFill="1" applyBorder="1" applyAlignment="1">
      <alignment horizontal="center" vertical="center"/>
    </xf>
    <xf numFmtId="0" fontId="11" fillId="15" borderId="0" xfId="0" applyFont="1" applyFill="1"/>
    <xf numFmtId="0" fontId="20" fillId="0" borderId="1" xfId="1" applyFont="1" applyFill="1" applyBorder="1" applyAlignment="1">
      <alignment horizontal="right" vertical="center"/>
    </xf>
    <xf numFmtId="1" fontId="8" fillId="0" borderId="1" xfId="258" applyNumberFormat="1" applyFont="1" applyFill="1" applyBorder="1" applyAlignment="1">
      <alignment horizontal="left" vertical="center"/>
    </xf>
    <xf numFmtId="0" fontId="20" fillId="0" borderId="1" xfId="258" applyNumberFormat="1" applyFont="1" applyFill="1" applyBorder="1" applyAlignment="1">
      <alignment horizontal="left" wrapText="1"/>
    </xf>
    <xf numFmtId="1" fontId="8" fillId="0" borderId="1" xfId="258" applyNumberFormat="1" applyFont="1" applyFill="1" applyBorder="1" applyAlignment="1">
      <alignment horizontal="left" vertical="center" wrapText="1"/>
    </xf>
    <xf numFmtId="0" fontId="20" fillId="0" borderId="1" xfId="1" applyFont="1" applyFill="1" applyBorder="1" applyAlignment="1">
      <alignment horizontal="center"/>
    </xf>
    <xf numFmtId="49" fontId="20" fillId="0" borderId="1" xfId="1" applyNumberFormat="1" applyFont="1" applyFill="1" applyBorder="1" applyAlignment="1">
      <alignment horizontal="center" vertical="center"/>
    </xf>
    <xf numFmtId="0" fontId="20" fillId="0" borderId="1" xfId="258" applyFont="1" applyFill="1" applyBorder="1" applyAlignment="1">
      <alignment horizontal="center" vertical="center"/>
    </xf>
    <xf numFmtId="4" fontId="20" fillId="0" borderId="1" xfId="246" applyNumberFormat="1" applyFont="1" applyFill="1" applyBorder="1" applyAlignment="1" applyProtection="1">
      <alignment horizontal="right" vertical="center"/>
      <protection locked="0"/>
    </xf>
    <xf numFmtId="4" fontId="20" fillId="0" borderId="1" xfId="258" applyNumberFormat="1" applyFont="1" applyFill="1" applyBorder="1" applyAlignment="1" applyProtection="1">
      <alignment vertical="center"/>
      <protection locked="0"/>
    </xf>
    <xf numFmtId="2" fontId="21" fillId="0" borderId="0" xfId="450" applyNumberFormat="1" applyFont="1" applyFill="1" applyBorder="1" applyAlignment="1">
      <alignment vertical="center"/>
    </xf>
    <xf numFmtId="2" fontId="20" fillId="0" borderId="1" xfId="1" applyNumberFormat="1" applyFont="1" applyFill="1" applyBorder="1" applyAlignment="1">
      <alignment horizontal="right" vertical="center"/>
    </xf>
    <xf numFmtId="2" fontId="20" fillId="0" borderId="1" xfId="258" applyNumberFormat="1" applyFont="1" applyFill="1" applyBorder="1" applyAlignment="1" applyProtection="1">
      <alignment horizontal="right" vertical="center"/>
      <protection locked="0"/>
    </xf>
    <xf numFmtId="4" fontId="20" fillId="0" borderId="1" xfId="1" applyNumberFormat="1" applyFont="1" applyFill="1" applyBorder="1" applyAlignment="1" applyProtection="1">
      <alignment vertical="center"/>
      <protection locked="0"/>
    </xf>
    <xf numFmtId="1" fontId="20" fillId="0" borderId="1" xfId="235" applyNumberFormat="1" applyFont="1" applyFill="1" applyBorder="1" applyAlignment="1">
      <alignment horizontal="center" vertical="center"/>
    </xf>
    <xf numFmtId="49" fontId="20" fillId="0" borderId="1" xfId="235" applyNumberFormat="1" applyFont="1" applyFill="1" applyBorder="1" applyAlignment="1">
      <alignment horizontal="right" vertical="center" wrapText="1"/>
    </xf>
    <xf numFmtId="0" fontId="20" fillId="0" borderId="1" xfId="235" applyFont="1" applyFill="1" applyBorder="1" applyAlignment="1">
      <alignment horizontal="left" vertical="center" wrapText="1"/>
    </xf>
    <xf numFmtId="0" fontId="20" fillId="0" borderId="1" xfId="235" applyFont="1" applyFill="1" applyBorder="1" applyAlignment="1">
      <alignment horizontal="center" vertical="center"/>
    </xf>
    <xf numFmtId="4" fontId="20" fillId="0" borderId="1" xfId="235" applyNumberFormat="1" applyFont="1" applyFill="1" applyBorder="1" applyAlignment="1" applyProtection="1">
      <alignment vertical="center"/>
      <protection locked="0"/>
    </xf>
    <xf numFmtId="0" fontId="20" fillId="0" borderId="1" xfId="235" applyNumberFormat="1" applyFont="1" applyFill="1" applyBorder="1" applyAlignment="1">
      <alignment horizontal="left" vertical="center" wrapText="1"/>
    </xf>
    <xf numFmtId="0" fontId="20" fillId="0" borderId="1" xfId="235" applyNumberFormat="1" applyFont="1" applyFill="1" applyBorder="1" applyAlignment="1">
      <alignment horizontal="center" vertical="center"/>
    </xf>
    <xf numFmtId="4" fontId="8" fillId="0" borderId="1" xfId="0" applyNumberFormat="1" applyFont="1" applyFill="1" applyBorder="1"/>
    <xf numFmtId="4" fontId="8" fillId="0" borderId="1" xfId="454" applyNumberFormat="1" applyFont="1" applyFill="1" applyBorder="1" applyAlignment="1">
      <alignment vertical="center"/>
    </xf>
    <xf numFmtId="44" fontId="8" fillId="0" borderId="0" xfId="450" applyFont="1" applyFill="1" applyBorder="1" applyAlignment="1">
      <alignment vertical="center"/>
    </xf>
    <xf numFmtId="2" fontId="8" fillId="0" borderId="0" xfId="450" applyNumberFormat="1" applyFont="1" applyFill="1" applyBorder="1" applyAlignment="1">
      <alignment vertical="center"/>
    </xf>
    <xf numFmtId="4" fontId="10" fillId="0" borderId="1" xfId="235" applyNumberFormat="1" applyFont="1" applyFill="1" applyBorder="1" applyAlignment="1">
      <alignment vertical="center"/>
    </xf>
    <xf numFmtId="49" fontId="20" fillId="0" borderId="1" xfId="235" applyNumberFormat="1" applyFont="1" applyFill="1" applyBorder="1" applyAlignment="1">
      <alignment horizontal="right" vertical="center"/>
    </xf>
    <xf numFmtId="0" fontId="20" fillId="0" borderId="1" xfId="245" applyFont="1" applyFill="1" applyBorder="1" applyAlignment="1">
      <alignment horizontal="left" vertical="center" wrapText="1"/>
    </xf>
    <xf numFmtId="0" fontId="20" fillId="0" borderId="1" xfId="245" applyFont="1" applyFill="1" applyBorder="1" applyAlignment="1">
      <alignment horizontal="center" vertical="center"/>
    </xf>
    <xf numFmtId="4" fontId="20" fillId="0" borderId="1" xfId="245" applyNumberFormat="1" applyFont="1" applyFill="1" applyBorder="1" applyAlignment="1">
      <alignment vertical="center"/>
    </xf>
    <xf numFmtId="0" fontId="20" fillId="0" borderId="1" xfId="1" applyNumberFormat="1" applyFont="1" applyFill="1" applyBorder="1" applyAlignment="1">
      <alignment horizontal="center" vertical="center"/>
    </xf>
    <xf numFmtId="0" fontId="20" fillId="0" borderId="1" xfId="258" applyNumberFormat="1" applyFont="1" applyFill="1" applyBorder="1" applyAlignment="1">
      <alignment horizontal="right" vertical="center"/>
    </xf>
    <xf numFmtId="4" fontId="20" fillId="0" borderId="1" xfId="12" applyNumberFormat="1" applyFont="1" applyFill="1" applyBorder="1" applyAlignment="1">
      <alignment vertical="center"/>
    </xf>
    <xf numFmtId="169" fontId="8" fillId="0" borderId="1" xfId="258" applyNumberFormat="1" applyFont="1" applyFill="1" applyBorder="1" applyAlignment="1">
      <alignment horizontal="left" vertical="center" wrapText="1"/>
    </xf>
    <xf numFmtId="169" fontId="8" fillId="0" borderId="1" xfId="258" applyNumberFormat="1" applyFont="1" applyFill="1" applyBorder="1" applyAlignment="1">
      <alignment horizontal="left" vertical="center"/>
    </xf>
    <xf numFmtId="0" fontId="8" fillId="0" borderId="1" xfId="258" applyNumberFormat="1" applyFont="1" applyFill="1" applyBorder="1" applyAlignment="1">
      <alignment horizontal="left" vertical="center"/>
    </xf>
    <xf numFmtId="49" fontId="20" fillId="0" borderId="1" xfId="246" applyNumberFormat="1" applyFont="1" applyFill="1" applyBorder="1" applyAlignment="1">
      <alignment horizontal="right" vertical="center"/>
    </xf>
    <xf numFmtId="0" fontId="20" fillId="0" borderId="1" xfId="246" applyFont="1" applyFill="1" applyBorder="1" applyAlignment="1">
      <alignment horizontal="left" vertical="center" wrapText="1"/>
    </xf>
    <xf numFmtId="0" fontId="20" fillId="0" borderId="1" xfId="246" applyFont="1" applyFill="1" applyBorder="1" applyAlignment="1">
      <alignment horizontal="center" vertical="center"/>
    </xf>
    <xf numFmtId="4" fontId="20" fillId="0" borderId="1" xfId="246" applyNumberFormat="1" applyFont="1" applyFill="1" applyBorder="1" applyAlignment="1">
      <alignment vertical="center"/>
    </xf>
    <xf numFmtId="1" fontId="20" fillId="0" borderId="1" xfId="1" applyNumberFormat="1" applyFont="1" applyFill="1" applyBorder="1" applyAlignment="1">
      <alignment horizontal="center" vertical="center"/>
    </xf>
    <xf numFmtId="1" fontId="8" fillId="0" borderId="1" xfId="1" applyNumberFormat="1" applyFont="1" applyFill="1" applyBorder="1" applyAlignment="1">
      <alignment horizontal="left" vertical="center" wrapText="1"/>
    </xf>
    <xf numFmtId="169" fontId="8" fillId="0" borderId="1" xfId="1" applyNumberFormat="1" applyFont="1" applyFill="1" applyBorder="1" applyAlignment="1">
      <alignment horizontal="center" vertical="center"/>
    </xf>
    <xf numFmtId="0" fontId="20" fillId="0" borderId="1" xfId="258" applyFont="1" applyFill="1" applyBorder="1" applyAlignment="1">
      <alignment horizontal="right" vertical="center" wrapText="1"/>
    </xf>
    <xf numFmtId="0" fontId="8" fillId="0" borderId="1" xfId="258" applyFont="1" applyFill="1" applyBorder="1" applyAlignment="1">
      <alignment horizontal="left" vertical="center"/>
    </xf>
    <xf numFmtId="49" fontId="8" fillId="0" borderId="1" xfId="258" applyNumberFormat="1" applyFont="1" applyFill="1" applyBorder="1" applyAlignment="1">
      <alignment horizontal="left" vertical="center" wrapText="1"/>
    </xf>
    <xf numFmtId="49" fontId="20" fillId="0" borderId="1" xfId="258" applyNumberFormat="1" applyFont="1" applyFill="1" applyBorder="1" applyAlignment="1">
      <alignment horizontal="right" vertical="center" wrapText="1"/>
    </xf>
    <xf numFmtId="0" fontId="20" fillId="0" borderId="1" xfId="258" applyFont="1" applyFill="1" applyBorder="1" applyAlignment="1">
      <alignment horizontal="justify" vertical="center" wrapText="1"/>
    </xf>
    <xf numFmtId="4" fontId="11" fillId="0" borderId="1" xfId="0" applyNumberFormat="1" applyFont="1" applyFill="1" applyBorder="1" applyAlignment="1">
      <alignment vertical="center"/>
    </xf>
    <xf numFmtId="4" fontId="20" fillId="0" borderId="1" xfId="1" applyNumberFormat="1" applyFont="1" applyFill="1" applyBorder="1" applyAlignment="1">
      <alignment horizontal="right" vertical="center"/>
    </xf>
    <xf numFmtId="0" fontId="20" fillId="0" borderId="1" xfId="1" applyNumberFormat="1" applyFont="1" applyFill="1" applyBorder="1" applyAlignment="1">
      <alignment horizontal="left" vertical="center" wrapText="1"/>
    </xf>
    <xf numFmtId="49" fontId="8" fillId="0" borderId="1" xfId="1" applyNumberFormat="1" applyFont="1" applyFill="1" applyBorder="1" applyAlignment="1" applyProtection="1">
      <alignment vertical="center"/>
      <protection locked="0"/>
    </xf>
    <xf numFmtId="49" fontId="8" fillId="0" borderId="1" xfId="1" applyNumberFormat="1" applyFont="1" applyFill="1" applyBorder="1" applyAlignment="1">
      <alignment vertical="center"/>
    </xf>
    <xf numFmtId="49" fontId="8" fillId="0" borderId="1" xfId="258" applyNumberFormat="1" applyFont="1" applyFill="1" applyBorder="1" applyAlignment="1">
      <alignment vertical="center"/>
    </xf>
    <xf numFmtId="4" fontId="21" fillId="0" borderId="1" xfId="12" applyNumberFormat="1" applyFont="1" applyFill="1" applyBorder="1" applyAlignment="1">
      <alignment horizontal="right" vertical="center"/>
    </xf>
    <xf numFmtId="4" fontId="20" fillId="0" borderId="1" xfId="12" applyNumberFormat="1" applyFont="1" applyFill="1" applyBorder="1" applyAlignment="1">
      <alignment horizontal="right" vertical="center"/>
    </xf>
    <xf numFmtId="49" fontId="11" fillId="0" borderId="1" xfId="12" applyNumberFormat="1" applyFont="1" applyFill="1" applyBorder="1" applyAlignment="1">
      <alignment horizontal="right" vertical="center"/>
    </xf>
    <xf numFmtId="49" fontId="8" fillId="0" borderId="1" xfId="12" applyNumberFormat="1" applyFont="1" applyFill="1" applyBorder="1" applyAlignment="1">
      <alignment horizontal="right" vertical="center"/>
    </xf>
    <xf numFmtId="4" fontId="19" fillId="0" borderId="1" xfId="454" applyNumberFormat="1" applyFont="1" applyFill="1" applyBorder="1" applyAlignment="1">
      <alignment vertical="center"/>
    </xf>
    <xf numFmtId="2" fontId="19" fillId="0" borderId="0" xfId="450" applyNumberFormat="1" applyFont="1" applyFill="1" applyBorder="1" applyAlignment="1">
      <alignment vertical="center"/>
    </xf>
    <xf numFmtId="49" fontId="8" fillId="0" borderId="1" xfId="1" applyNumberFormat="1" applyFont="1" applyFill="1" applyBorder="1" applyAlignment="1">
      <alignment horizontal="left" vertical="center"/>
    </xf>
    <xf numFmtId="4" fontId="20" fillId="0" borderId="1" xfId="235" applyNumberFormat="1" applyFont="1" applyFill="1" applyBorder="1" applyAlignment="1">
      <alignment horizontal="right" vertical="center"/>
    </xf>
    <xf numFmtId="2" fontId="8" fillId="0" borderId="1" xfId="1" applyNumberFormat="1" applyFont="1" applyFill="1" applyBorder="1" applyAlignment="1">
      <alignment horizontal="center" vertical="center"/>
    </xf>
    <xf numFmtId="49" fontId="20" fillId="0" borderId="1" xfId="245" applyNumberFormat="1" applyFont="1" applyFill="1" applyBorder="1" applyAlignment="1">
      <alignment horizontal="right" vertical="center"/>
    </xf>
    <xf numFmtId="4" fontId="20" fillId="0" borderId="1" xfId="246" applyNumberFormat="1" applyFont="1" applyFill="1" applyBorder="1" applyAlignment="1">
      <alignment horizontal="right" vertical="center"/>
    </xf>
    <xf numFmtId="2" fontId="8" fillId="0" borderId="1" xfId="246" applyNumberFormat="1" applyFont="1" applyFill="1" applyBorder="1" applyAlignment="1">
      <alignment horizontal="center" vertical="center"/>
    </xf>
    <xf numFmtId="0" fontId="20" fillId="0" borderId="1" xfId="246" applyNumberFormat="1" applyFont="1" applyFill="1" applyBorder="1" applyAlignment="1">
      <alignment horizontal="center" vertical="center"/>
    </xf>
    <xf numFmtId="4" fontId="20" fillId="0" borderId="1" xfId="245" applyNumberFormat="1" applyFont="1" applyFill="1" applyBorder="1" applyAlignment="1">
      <alignment horizontal="right" vertical="center"/>
    </xf>
    <xf numFmtId="2" fontId="8" fillId="0" borderId="1" xfId="245" applyNumberFormat="1" applyFont="1" applyFill="1" applyBorder="1" applyAlignment="1">
      <alignment horizontal="center" vertical="center"/>
    </xf>
    <xf numFmtId="4" fontId="20" fillId="0" borderId="1" xfId="245" applyNumberFormat="1" applyFont="1" applyFill="1" applyBorder="1" applyAlignment="1" applyProtection="1">
      <alignment horizontal="right" vertical="center"/>
      <protection locked="0"/>
    </xf>
    <xf numFmtId="0" fontId="8" fillId="0" borderId="1" xfId="213" applyFont="1" applyFill="1" applyBorder="1" applyAlignment="1">
      <alignment horizontal="left" vertical="center"/>
    </xf>
    <xf numFmtId="2" fontId="8" fillId="0" borderId="1" xfId="213" applyNumberFormat="1" applyFont="1" applyFill="1" applyBorder="1" applyAlignment="1">
      <alignment horizontal="center" vertical="center"/>
    </xf>
    <xf numFmtId="0" fontId="8" fillId="0" borderId="1" xfId="213" applyFont="1" applyFill="1" applyBorder="1" applyAlignment="1">
      <alignment horizontal="left" vertical="center" wrapText="1"/>
    </xf>
    <xf numFmtId="0" fontId="20" fillId="0" borderId="1" xfId="245" applyNumberFormat="1" applyFont="1" applyFill="1" applyBorder="1" applyAlignment="1">
      <alignment horizontal="center" vertical="center"/>
    </xf>
    <xf numFmtId="1" fontId="20" fillId="0" borderId="1" xfId="245" applyNumberFormat="1" applyFont="1" applyFill="1" applyBorder="1" applyAlignment="1">
      <alignment horizontal="center" vertical="center"/>
    </xf>
    <xf numFmtId="1" fontId="8" fillId="0" borderId="1" xfId="258" applyNumberFormat="1" applyFont="1" applyFill="1" applyBorder="1" applyAlignment="1">
      <alignment horizontal="right" vertical="center"/>
    </xf>
    <xf numFmtId="49" fontId="8" fillId="0" borderId="1" xfId="258" applyNumberFormat="1" applyFont="1" applyFill="1" applyBorder="1" applyAlignment="1" applyProtection="1">
      <alignment vertical="center"/>
      <protection locked="0"/>
    </xf>
    <xf numFmtId="169" fontId="20" fillId="0" borderId="1" xfId="258" applyNumberFormat="1" applyFont="1" applyFill="1" applyBorder="1" applyAlignment="1">
      <alignment vertical="center"/>
    </xf>
    <xf numFmtId="1" fontId="8" fillId="0" borderId="1" xfId="258" applyNumberFormat="1" applyFont="1" applyFill="1" applyBorder="1" applyAlignment="1">
      <alignment vertical="center"/>
    </xf>
    <xf numFmtId="0" fontId="20" fillId="0" borderId="1" xfId="235" applyNumberFormat="1" applyFont="1" applyFill="1" applyBorder="1" applyAlignment="1">
      <alignment horizontal="left" wrapText="1"/>
    </xf>
    <xf numFmtId="0" fontId="20" fillId="0" borderId="1" xfId="258" applyFont="1" applyFill="1" applyBorder="1" applyAlignment="1">
      <alignment horizontal="left" wrapText="1"/>
    </xf>
    <xf numFmtId="0" fontId="8" fillId="0" borderId="1" xfId="258" applyFont="1" applyFill="1" applyBorder="1" applyAlignment="1">
      <alignment horizontal="left"/>
    </xf>
    <xf numFmtId="0" fontId="20" fillId="0" borderId="1" xfId="235" applyFont="1" applyFill="1" applyBorder="1" applyAlignment="1">
      <alignment horizontal="left" wrapText="1"/>
    </xf>
    <xf numFmtId="0" fontId="20" fillId="0" borderId="1" xfId="245" applyFont="1" applyFill="1" applyBorder="1" applyAlignment="1">
      <alignment horizontal="left" wrapText="1"/>
    </xf>
    <xf numFmtId="0" fontId="20" fillId="0" borderId="1" xfId="246" applyFont="1" applyFill="1" applyBorder="1" applyAlignment="1">
      <alignment horizontal="left" wrapText="1"/>
    </xf>
    <xf numFmtId="0" fontId="20" fillId="0" borderId="1" xfId="213" applyFont="1" applyFill="1" applyBorder="1" applyAlignment="1">
      <alignment horizontal="left" wrapText="1"/>
    </xf>
    <xf numFmtId="0" fontId="8" fillId="0" borderId="1" xfId="213" applyFont="1" applyFill="1" applyBorder="1" applyAlignment="1">
      <alignment horizontal="left" wrapText="1"/>
    </xf>
    <xf numFmtId="0" fontId="8" fillId="0" borderId="1" xfId="235" applyFont="1" applyFill="1" applyBorder="1" applyAlignment="1">
      <alignment horizontal="left"/>
    </xf>
    <xf numFmtId="0" fontId="10" fillId="0" borderId="1" xfId="235" applyFont="1" applyFill="1" applyBorder="1" applyAlignment="1">
      <alignment horizontal="left" wrapText="1"/>
    </xf>
    <xf numFmtId="2" fontId="8" fillId="0" borderId="1" xfId="235" applyNumberFormat="1" applyFont="1" applyFill="1" applyBorder="1" applyAlignment="1">
      <alignment horizontal="center" vertical="center"/>
    </xf>
    <xf numFmtId="49" fontId="10" fillId="0" borderId="1" xfId="235" applyNumberFormat="1" applyFont="1" applyFill="1" applyBorder="1" applyAlignment="1">
      <alignment horizontal="right" vertical="center"/>
    </xf>
    <xf numFmtId="4" fontId="10" fillId="0" borderId="1" xfId="235" applyNumberFormat="1" applyFont="1" applyFill="1" applyBorder="1" applyAlignment="1" applyProtection="1">
      <alignment horizontal="right" vertical="center"/>
      <protection locked="0"/>
    </xf>
    <xf numFmtId="0" fontId="10" fillId="0" borderId="1" xfId="245" applyFont="1" applyFill="1" applyBorder="1" applyAlignment="1">
      <alignment horizontal="left" wrapText="1"/>
    </xf>
    <xf numFmtId="0" fontId="8" fillId="0" borderId="1" xfId="258" applyNumberFormat="1" applyFont="1" applyFill="1" applyBorder="1" applyAlignment="1">
      <alignment horizontal="left"/>
    </xf>
    <xf numFmtId="4" fontId="11" fillId="0" borderId="1" xfId="0" applyNumberFormat="1" applyFont="1" applyFill="1" applyBorder="1" applyAlignment="1"/>
    <xf numFmtId="0" fontId="11" fillId="0" borderId="0" xfId="0" applyFont="1" applyFill="1" applyAlignment="1"/>
    <xf numFmtId="0" fontId="20" fillId="0" borderId="1" xfId="1" applyNumberFormat="1" applyFont="1" applyFill="1" applyBorder="1" applyAlignment="1">
      <alignment horizontal="left" wrapText="1"/>
    </xf>
    <xf numFmtId="0" fontId="8" fillId="0" borderId="1" xfId="1" applyNumberFormat="1" applyFont="1" applyFill="1" applyBorder="1" applyAlignment="1">
      <alignment horizontal="left"/>
    </xf>
    <xf numFmtId="0" fontId="8" fillId="0" borderId="1" xfId="213" applyFont="1" applyFill="1" applyBorder="1" applyAlignment="1">
      <alignment horizontal="left"/>
    </xf>
    <xf numFmtId="4" fontId="20" fillId="0" borderId="1" xfId="0" applyNumberFormat="1" applyFont="1" applyFill="1" applyBorder="1"/>
    <xf numFmtId="44" fontId="20" fillId="0" borderId="0" xfId="450" applyFont="1" applyFill="1" applyBorder="1" applyAlignment="1">
      <alignment vertical="center"/>
    </xf>
    <xf numFmtId="0" fontId="20" fillId="0" borderId="0" xfId="0" applyFont="1" applyFill="1"/>
    <xf numFmtId="4" fontId="11" fillId="0" borderId="1" xfId="454" applyNumberFormat="1" applyFont="1" applyFill="1" applyBorder="1"/>
    <xf numFmtId="49" fontId="8" fillId="0" borderId="1" xfId="12" applyNumberFormat="1" applyFont="1" applyFill="1" applyBorder="1" applyAlignment="1" applyProtection="1">
      <alignment horizontal="right" vertical="center"/>
      <protection locked="0"/>
    </xf>
    <xf numFmtId="0" fontId="8" fillId="0" borderId="1" xfId="235" applyFont="1" applyFill="1" applyBorder="1" applyAlignment="1">
      <alignment horizontal="left" vertical="center"/>
    </xf>
    <xf numFmtId="49" fontId="18" fillId="0" borderId="1" xfId="258" applyNumberFormat="1" applyFont="1" applyFill="1" applyBorder="1" applyAlignment="1">
      <alignment horizontal="center" vertical="center"/>
    </xf>
    <xf numFmtId="49" fontId="18" fillId="0" borderId="1" xfId="258" applyNumberFormat="1" applyFont="1" applyFill="1" applyBorder="1" applyAlignment="1">
      <alignment horizontal="right" vertical="center"/>
    </xf>
    <xf numFmtId="49" fontId="18" fillId="0" borderId="1" xfId="258" applyNumberFormat="1" applyFont="1" applyFill="1" applyBorder="1" applyAlignment="1">
      <alignment horizontal="left" vertical="center" wrapText="1"/>
    </xf>
    <xf numFmtId="49" fontId="18" fillId="0" borderId="1" xfId="258" applyNumberFormat="1" applyFont="1" applyFill="1" applyBorder="1" applyAlignment="1" applyProtection="1">
      <alignment vertical="center"/>
      <protection locked="0"/>
    </xf>
    <xf numFmtId="49" fontId="18" fillId="0" borderId="1" xfId="12" applyNumberFormat="1" applyFont="1" applyFill="1" applyBorder="1" applyAlignment="1">
      <alignment horizontal="right" vertical="center"/>
    </xf>
    <xf numFmtId="4" fontId="19" fillId="0" borderId="1" xfId="0" applyNumberFormat="1" applyFont="1" applyFill="1" applyBorder="1"/>
    <xf numFmtId="44" fontId="19" fillId="0" borderId="0" xfId="450" applyFont="1" applyFill="1" applyBorder="1" applyAlignment="1">
      <alignment vertical="center"/>
    </xf>
    <xf numFmtId="49" fontId="19" fillId="0" borderId="0" xfId="0" applyNumberFormat="1" applyFont="1" applyFill="1"/>
    <xf numFmtId="0" fontId="19" fillId="0" borderId="0" xfId="0" applyFont="1" applyFill="1"/>
    <xf numFmtId="2" fontId="8" fillId="0" borderId="1" xfId="258" applyNumberFormat="1" applyFont="1" applyFill="1" applyBorder="1" applyAlignment="1">
      <alignment horizontal="center" vertical="center" wrapText="1"/>
    </xf>
    <xf numFmtId="4" fontId="8" fillId="0" borderId="1" xfId="258" applyNumberFormat="1" applyFont="1" applyFill="1" applyBorder="1" applyAlignment="1" applyProtection="1">
      <alignment vertical="center" wrapText="1"/>
      <protection locked="0"/>
    </xf>
    <xf numFmtId="4" fontId="8" fillId="0" borderId="1" xfId="258" applyNumberFormat="1" applyFont="1" applyFill="1" applyBorder="1" applyAlignment="1">
      <alignment vertical="center" wrapText="1"/>
    </xf>
    <xf numFmtId="4" fontId="11" fillId="0" borderId="1" xfId="0" applyNumberFormat="1" applyFont="1" applyFill="1" applyBorder="1" applyAlignment="1">
      <alignment wrapText="1"/>
    </xf>
    <xf numFmtId="4" fontId="11" fillId="0" borderId="1" xfId="454" applyNumberFormat="1" applyFont="1" applyFill="1" applyBorder="1" applyAlignment="1">
      <alignment vertical="center" wrapText="1"/>
    </xf>
    <xf numFmtId="44" fontId="11" fillId="0" borderId="0" xfId="450" applyFont="1" applyFill="1" applyBorder="1" applyAlignment="1">
      <alignment vertical="center" wrapText="1"/>
    </xf>
    <xf numFmtId="2" fontId="11" fillId="0" borderId="0" xfId="450" applyNumberFormat="1" applyFont="1" applyFill="1" applyBorder="1" applyAlignment="1">
      <alignment vertical="center" wrapText="1"/>
    </xf>
    <xf numFmtId="0" fontId="11" fillId="0" borderId="0" xfId="0" applyFont="1" applyFill="1" applyAlignment="1">
      <alignment wrapText="1"/>
    </xf>
    <xf numFmtId="1" fontId="8" fillId="0" borderId="1" xfId="1" applyNumberFormat="1" applyFont="1" applyFill="1" applyBorder="1" applyAlignment="1">
      <alignment horizontal="left"/>
    </xf>
    <xf numFmtId="49" fontId="20" fillId="0" borderId="1" xfId="258" applyNumberFormat="1" applyFont="1" applyFill="1" applyBorder="1" applyAlignment="1">
      <alignment horizontal="center" vertical="center"/>
    </xf>
    <xf numFmtId="49" fontId="20" fillId="0" borderId="1" xfId="258" applyNumberFormat="1" applyFont="1" applyFill="1" applyBorder="1" applyAlignment="1">
      <alignment horizontal="left" vertical="center" wrapText="1"/>
    </xf>
    <xf numFmtId="49" fontId="20" fillId="0" borderId="1" xfId="1" applyNumberFormat="1" applyFont="1" applyFill="1" applyBorder="1" applyAlignment="1" applyProtection="1">
      <alignment horizontal="right" vertical="center"/>
      <protection locked="0"/>
    </xf>
    <xf numFmtId="49" fontId="21" fillId="0" borderId="0" xfId="0" applyNumberFormat="1" applyFont="1" applyFill="1"/>
    <xf numFmtId="2" fontId="11" fillId="0" borderId="1" xfId="0" applyNumberFormat="1" applyFont="1" applyFill="1" applyBorder="1" applyAlignment="1">
      <alignment horizontal="left" wrapText="1"/>
    </xf>
    <xf numFmtId="0" fontId="10" fillId="0" borderId="1" xfId="1" applyNumberFormat="1" applyFont="1" applyFill="1" applyBorder="1" applyAlignment="1">
      <alignment horizontal="left" wrapText="1"/>
    </xf>
    <xf numFmtId="49" fontId="8" fillId="0" borderId="1" xfId="1" applyNumberFormat="1" applyFont="1" applyFill="1" applyBorder="1" applyAlignment="1">
      <alignment horizontal="left" wrapText="1"/>
    </xf>
    <xf numFmtId="2" fontId="8" fillId="0" borderId="1" xfId="258" applyNumberFormat="1" applyFont="1" applyFill="1" applyBorder="1" applyAlignment="1">
      <alignment horizontal="right" vertical="center" wrapText="1"/>
    </xf>
    <xf numFmtId="0" fontId="8" fillId="0" borderId="1" xfId="1" applyNumberFormat="1" applyFont="1" applyFill="1" applyBorder="1" applyAlignment="1">
      <alignment horizontal="center" vertical="center" wrapText="1"/>
    </xf>
    <xf numFmtId="4" fontId="8" fillId="0" borderId="1" xfId="1" applyNumberFormat="1" applyFont="1" applyFill="1" applyBorder="1" applyAlignment="1" applyProtection="1">
      <alignment horizontal="right" vertical="center" wrapText="1"/>
      <protection locked="0"/>
    </xf>
    <xf numFmtId="44" fontId="21" fillId="0" borderId="6" xfId="450" applyFont="1" applyFill="1" applyBorder="1" applyAlignment="1">
      <alignment vertical="center"/>
    </xf>
    <xf numFmtId="0" fontId="21" fillId="0" borderId="6" xfId="0" applyFont="1" applyFill="1" applyBorder="1"/>
    <xf numFmtId="1" fontId="8" fillId="0" borderId="1" xfId="1" applyNumberFormat="1" applyFont="1" applyFill="1" applyBorder="1" applyAlignment="1">
      <alignment horizontal="left" wrapText="1"/>
    </xf>
    <xf numFmtId="3" fontId="8" fillId="0" borderId="1" xfId="1" applyNumberFormat="1" applyFont="1" applyFill="1" applyBorder="1" applyAlignment="1">
      <alignment horizontal="right" vertical="center"/>
    </xf>
    <xf numFmtId="1" fontId="18" fillId="0" borderId="1" xfId="1" applyNumberFormat="1" applyFont="1" applyFill="1" applyBorder="1" applyAlignment="1">
      <alignment horizontal="center" vertical="center"/>
    </xf>
    <xf numFmtId="49" fontId="18" fillId="0" borderId="1" xfId="1" applyNumberFormat="1" applyFont="1" applyFill="1" applyBorder="1" applyAlignment="1">
      <alignment horizontal="right" vertical="center"/>
    </xf>
    <xf numFmtId="1" fontId="18" fillId="0" borderId="1" xfId="258" applyNumberFormat="1" applyFont="1" applyFill="1" applyBorder="1" applyAlignment="1">
      <alignment horizontal="center" vertical="center"/>
    </xf>
    <xf numFmtId="0" fontId="18" fillId="0" borderId="1" xfId="1" applyFont="1" applyFill="1" applyBorder="1" applyAlignment="1">
      <alignment horizontal="left" wrapText="1"/>
    </xf>
    <xf numFmtId="0" fontId="18" fillId="0" borderId="1" xfId="1" applyFont="1" applyFill="1" applyBorder="1" applyAlignment="1">
      <alignment horizontal="center" vertical="center"/>
    </xf>
    <xf numFmtId="4" fontId="19" fillId="0" borderId="1" xfId="1" applyNumberFormat="1" applyFont="1" applyFill="1" applyBorder="1" applyAlignment="1">
      <alignment horizontal="right" vertical="center"/>
    </xf>
    <xf numFmtId="4" fontId="18" fillId="0" borderId="1" xfId="1" applyNumberFormat="1" applyFont="1" applyFill="1" applyBorder="1" applyAlignment="1">
      <alignment horizontal="right" vertical="center"/>
    </xf>
    <xf numFmtId="4" fontId="18" fillId="0" borderId="1" xfId="258" applyNumberFormat="1" applyFont="1" applyFill="1" applyBorder="1" applyAlignment="1">
      <alignment horizontal="right" vertical="center"/>
    </xf>
    <xf numFmtId="0" fontId="19" fillId="0" borderId="0" xfId="0" applyFont="1" applyFill="1" applyBorder="1"/>
    <xf numFmtId="0" fontId="18" fillId="0" borderId="1" xfId="1" applyNumberFormat="1" applyFont="1" applyFill="1" applyBorder="1" applyAlignment="1">
      <alignment horizontal="center" vertical="center"/>
    </xf>
    <xf numFmtId="44" fontId="19" fillId="0" borderId="6" xfId="450" applyFont="1" applyFill="1" applyBorder="1" applyAlignment="1">
      <alignment vertical="center"/>
    </xf>
    <xf numFmtId="0" fontId="19" fillId="0" borderId="6" xfId="0" applyFont="1" applyFill="1" applyBorder="1"/>
    <xf numFmtId="4" fontId="21" fillId="0" borderId="1" xfId="1" applyNumberFormat="1" applyFont="1" applyFill="1" applyBorder="1" applyAlignment="1">
      <alignment horizontal="right" vertical="center"/>
    </xf>
    <xf numFmtId="1" fontId="20" fillId="0" borderId="1" xfId="258" applyNumberFormat="1" applyFont="1" applyFill="1" applyBorder="1" applyAlignment="1">
      <alignment horizontal="center"/>
    </xf>
    <xf numFmtId="4" fontId="8" fillId="0" borderId="1" xfId="258" applyNumberFormat="1" applyFont="1" applyFill="1" applyBorder="1" applyAlignment="1" applyProtection="1">
      <alignment horizontal="right" vertical="center" wrapText="1"/>
      <protection locked="0"/>
    </xf>
    <xf numFmtId="0" fontId="8" fillId="0" borderId="1" xfId="1" applyNumberFormat="1" applyFont="1" applyFill="1" applyBorder="1" applyAlignment="1">
      <alignment horizontal="right" vertical="center"/>
    </xf>
    <xf numFmtId="169" fontId="20" fillId="0" borderId="1" xfId="258" applyNumberFormat="1" applyFont="1" applyFill="1" applyBorder="1" applyAlignment="1">
      <alignment horizontal="center" vertical="center"/>
    </xf>
    <xf numFmtId="4" fontId="18" fillId="0" borderId="1" xfId="258" applyNumberFormat="1" applyFont="1" applyFill="1" applyBorder="1" applyAlignment="1" applyProtection="1">
      <alignment horizontal="right" vertical="center"/>
      <protection locked="0"/>
    </xf>
    <xf numFmtId="4" fontId="18" fillId="0" borderId="1" xfId="1" applyNumberFormat="1" applyFont="1" applyFill="1" applyBorder="1" applyAlignment="1">
      <alignment vertical="center"/>
    </xf>
    <xf numFmtId="4" fontId="18" fillId="0" borderId="1" xfId="258" applyNumberFormat="1" applyFont="1" applyFill="1" applyBorder="1" applyAlignment="1">
      <alignment vertical="center"/>
    </xf>
    <xf numFmtId="0" fontId="18" fillId="0" borderId="1" xfId="258" applyFont="1" applyFill="1" applyBorder="1" applyAlignment="1">
      <alignment horizontal="left" wrapText="1"/>
    </xf>
    <xf numFmtId="0" fontId="18" fillId="0" borderId="1" xfId="258" applyFont="1" applyFill="1" applyBorder="1" applyAlignment="1">
      <alignment horizontal="center" vertical="center"/>
    </xf>
    <xf numFmtId="0" fontId="18" fillId="0" borderId="1" xfId="258" applyNumberFormat="1" applyFont="1" applyFill="1" applyBorder="1" applyAlignment="1">
      <alignment horizontal="left" wrapText="1"/>
    </xf>
    <xf numFmtId="4" fontId="18" fillId="0" borderId="1" xfId="246" applyNumberFormat="1" applyFont="1" applyFill="1" applyBorder="1" applyAlignment="1" applyProtection="1">
      <alignment horizontal="right" vertical="center"/>
      <protection locked="0"/>
    </xf>
    <xf numFmtId="4" fontId="11" fillId="0" borderId="1" xfId="454" quotePrefix="1" applyNumberFormat="1" applyFont="1" applyFill="1" applyBorder="1" applyAlignment="1">
      <alignment vertical="center"/>
    </xf>
    <xf numFmtId="4" fontId="8" fillId="0" borderId="1" xfId="258" applyNumberFormat="1" applyFont="1" applyFill="1" applyBorder="1" applyAlignment="1">
      <alignment horizontal="center"/>
    </xf>
    <xf numFmtId="4" fontId="8" fillId="0" borderId="1" xfId="450" applyNumberFormat="1" applyFont="1" applyFill="1" applyBorder="1" applyAlignment="1"/>
    <xf numFmtId="44" fontId="8" fillId="0" borderId="0" xfId="450" applyFont="1" applyFill="1" applyBorder="1" applyAlignment="1"/>
    <xf numFmtId="2" fontId="8" fillId="0" borderId="0" xfId="450" applyNumberFormat="1" applyFont="1" applyFill="1" applyBorder="1" applyAlignment="1"/>
    <xf numFmtId="4" fontId="20" fillId="0" borderId="1" xfId="258" applyNumberFormat="1" applyFont="1" applyFill="1" applyBorder="1" applyAlignment="1">
      <alignment horizontal="center" vertical="center"/>
    </xf>
    <xf numFmtId="4" fontId="20" fillId="0" borderId="1" xfId="450" applyNumberFormat="1" applyFont="1" applyFill="1" applyBorder="1" applyAlignment="1">
      <alignment horizontal="right" vertical="center"/>
    </xf>
    <xf numFmtId="44" fontId="20" fillId="0" borderId="0" xfId="450" applyFont="1" applyFill="1" applyBorder="1" applyAlignment="1">
      <alignment horizontal="right" vertical="center"/>
    </xf>
    <xf numFmtId="2" fontId="20" fillId="0" borderId="0" xfId="450" applyNumberFormat="1" applyFont="1" applyFill="1" applyBorder="1" applyAlignment="1">
      <alignment horizontal="right" vertical="center"/>
    </xf>
    <xf numFmtId="0" fontId="8" fillId="11" borderId="1" xfId="0" applyFont="1" applyFill="1" applyBorder="1"/>
    <xf numFmtId="0" fontId="26" fillId="0" borderId="1" xfId="0" applyFont="1" applyFill="1" applyBorder="1"/>
    <xf numFmtId="0" fontId="25" fillId="0" borderId="1" xfId="0" applyFont="1" applyFill="1" applyBorder="1"/>
    <xf numFmtId="0" fontId="29" fillId="0" borderId="1" xfId="0" applyFont="1" applyFill="1" applyBorder="1" applyAlignment="1">
      <alignment horizontal="center" vertical="center" wrapText="1"/>
    </xf>
    <xf numFmtId="0" fontId="0" fillId="0" borderId="0" xfId="0" applyFill="1" applyAlignment="1">
      <alignment vertical="center"/>
    </xf>
    <xf numFmtId="0" fontId="32" fillId="0" borderId="1" xfId="0" applyFont="1" applyFill="1" applyBorder="1" applyAlignment="1">
      <alignment vertical="center"/>
    </xf>
    <xf numFmtId="0" fontId="29" fillId="0" borderId="1" xfId="0" applyFont="1" applyFill="1" applyBorder="1" applyAlignment="1">
      <alignment vertical="center"/>
    </xf>
    <xf numFmtId="4" fontId="10" fillId="2" borderId="0" xfId="0" applyNumberFormat="1" applyFont="1" applyFill="1" applyBorder="1" applyAlignment="1">
      <alignment horizontal="center" vertical="center"/>
    </xf>
    <xf numFmtId="4" fontId="10" fillId="6" borderId="19" xfId="258" applyNumberFormat="1" applyFont="1" applyFill="1" applyBorder="1" applyAlignment="1" applyProtection="1">
      <alignment horizontal="center" vertical="center" wrapText="1"/>
      <protection locked="0"/>
    </xf>
    <xf numFmtId="43" fontId="11" fillId="0" borderId="3" xfId="454" applyFont="1" applyFill="1" applyBorder="1" applyAlignment="1">
      <alignment horizontal="right" vertical="center"/>
    </xf>
    <xf numFmtId="0" fontId="8" fillId="2" borderId="0" xfId="0" applyFont="1" applyFill="1" applyBorder="1" applyAlignment="1"/>
    <xf numFmtId="4" fontId="8" fillId="6" borderId="1" xfId="258" applyNumberFormat="1" applyFont="1" applyFill="1" applyBorder="1" applyAlignment="1">
      <alignment vertical="center"/>
    </xf>
    <xf numFmtId="43" fontId="11" fillId="6" borderId="3" xfId="454" applyFont="1" applyFill="1" applyBorder="1" applyAlignment="1">
      <alignment horizontal="right" vertical="center"/>
    </xf>
    <xf numFmtId="0" fontId="10" fillId="2" borderId="0" xfId="0" applyFont="1" applyFill="1" applyBorder="1" applyAlignment="1">
      <alignment horizontal="center"/>
    </xf>
    <xf numFmtId="173" fontId="17" fillId="2" borderId="0" xfId="449" applyFont="1" applyFill="1" applyBorder="1" applyAlignment="1"/>
    <xf numFmtId="173" fontId="10" fillId="2" borderId="0" xfId="449" applyFont="1" applyFill="1" applyBorder="1" applyAlignment="1"/>
    <xf numFmtId="0" fontId="10" fillId="2" borderId="0" xfId="0" applyFont="1" applyFill="1" applyAlignment="1"/>
    <xf numFmtId="4" fontId="10" fillId="2" borderId="0" xfId="0" applyNumberFormat="1" applyFont="1" applyFill="1" applyAlignment="1"/>
    <xf numFmtId="2" fontId="10" fillId="2" borderId="0" xfId="0" applyNumberFormat="1" applyFont="1" applyFill="1" applyAlignment="1"/>
    <xf numFmtId="0" fontId="10" fillId="0" borderId="0" xfId="0" applyFont="1" applyFill="1" applyAlignment="1"/>
    <xf numFmtId="0" fontId="11" fillId="16" borderId="0" xfId="0" applyFont="1" applyFill="1"/>
    <xf numFmtId="0" fontId="12" fillId="6" borderId="0" xfId="0" applyFont="1" applyFill="1"/>
    <xf numFmtId="0" fontId="12" fillId="6" borderId="1" xfId="0" applyFont="1" applyFill="1" applyBorder="1" applyAlignment="1">
      <alignment horizontal="center"/>
    </xf>
    <xf numFmtId="44" fontId="12" fillId="6" borderId="1" xfId="12" applyFont="1" applyFill="1" applyBorder="1"/>
    <xf numFmtId="0" fontId="11" fillId="2" borderId="0" xfId="0" applyFont="1" applyFill="1" applyBorder="1"/>
    <xf numFmtId="169" fontId="8" fillId="0" borderId="1" xfId="258" applyNumberFormat="1" applyFont="1" applyFill="1" applyBorder="1" applyAlignment="1">
      <alignment horizontal="center" vertical="center" wrapText="1"/>
    </xf>
    <xf numFmtId="169" fontId="8" fillId="0" borderId="1" xfId="258" applyNumberFormat="1" applyFont="1" applyFill="1" applyBorder="1" applyAlignment="1">
      <alignment vertical="center" wrapText="1"/>
    </xf>
    <xf numFmtId="0" fontId="8" fillId="0" borderId="1" xfId="245" applyFont="1" applyFill="1" applyBorder="1" applyAlignment="1">
      <alignment horizontal="center" vertical="center" wrapText="1"/>
    </xf>
    <xf numFmtId="169" fontId="8" fillId="0" borderId="1" xfId="245" applyNumberFormat="1" applyFont="1" applyFill="1" applyBorder="1" applyAlignment="1">
      <alignment horizontal="justify" vertical="center" wrapText="1"/>
    </xf>
    <xf numFmtId="169" fontId="8" fillId="0" borderId="1" xfId="245" applyNumberFormat="1" applyFont="1" applyFill="1" applyBorder="1" applyAlignment="1">
      <alignment horizontal="center" vertical="center"/>
    </xf>
    <xf numFmtId="0" fontId="11" fillId="0" borderId="0" xfId="0" applyFont="1" applyAlignment="1">
      <alignment horizontal="center"/>
    </xf>
    <xf numFmtId="0" fontId="11" fillId="0" borderId="0" xfId="0" applyFont="1" applyBorder="1" applyAlignment="1">
      <alignment horizontal="center"/>
    </xf>
    <xf numFmtId="0" fontId="12" fillId="6" borderId="1" xfId="0" applyFont="1" applyFill="1" applyBorder="1" applyAlignment="1">
      <alignment horizontal="left" wrapText="1"/>
    </xf>
    <xf numFmtId="0" fontId="11" fillId="6" borderId="1" xfId="0" applyFont="1" applyFill="1" applyBorder="1" applyAlignment="1">
      <alignment horizontal="center"/>
    </xf>
    <xf numFmtId="4" fontId="11" fillId="6" borderId="1" xfId="0" applyNumberFormat="1" applyFont="1" applyFill="1" applyBorder="1"/>
    <xf numFmtId="4" fontId="11" fillId="6" borderId="1" xfId="454" applyNumberFormat="1" applyFont="1" applyFill="1" applyBorder="1" applyAlignment="1">
      <alignment vertical="center"/>
    </xf>
    <xf numFmtId="4" fontId="11" fillId="6" borderId="1" xfId="450" applyNumberFormat="1" applyFont="1" applyFill="1" applyBorder="1" applyAlignment="1">
      <alignment vertical="center"/>
    </xf>
    <xf numFmtId="44" fontId="11" fillId="6" borderId="0" xfId="450" applyFont="1" applyFill="1" applyBorder="1" applyAlignment="1">
      <alignment vertical="center"/>
    </xf>
    <xf numFmtId="2" fontId="11" fillId="6" borderId="0" xfId="450" applyNumberFormat="1" applyFont="1" applyFill="1" applyBorder="1" applyAlignment="1">
      <alignment vertical="center"/>
    </xf>
    <xf numFmtId="0" fontId="11" fillId="2" borderId="1" xfId="0" applyFont="1" applyFill="1" applyBorder="1" applyAlignment="1">
      <alignment horizontal="center"/>
    </xf>
    <xf numFmtId="0" fontId="8" fillId="0" borderId="1" xfId="1" applyFont="1" applyFill="1" applyBorder="1" applyAlignment="1">
      <alignment horizontal="center" vertical="center" wrapText="1"/>
    </xf>
    <xf numFmtId="0" fontId="10" fillId="0" borderId="1" xfId="1" applyFont="1" applyFill="1" applyBorder="1" applyAlignment="1">
      <alignment horizontal="center" vertical="top" wrapText="1"/>
    </xf>
    <xf numFmtId="0" fontId="10" fillId="0" borderId="1" xfId="258" applyNumberFormat="1" applyFont="1" applyFill="1" applyBorder="1" applyAlignment="1">
      <alignment horizontal="center" vertical="center"/>
    </xf>
    <xf numFmtId="49" fontId="8" fillId="0" borderId="1" xfId="245" applyNumberFormat="1" applyFont="1" applyFill="1" applyBorder="1" applyAlignment="1">
      <alignment horizontal="center" vertical="center" wrapText="1"/>
    </xf>
    <xf numFmtId="49" fontId="8" fillId="0" borderId="1" xfId="213" applyNumberFormat="1" applyFont="1" applyFill="1" applyBorder="1" applyAlignment="1">
      <alignment horizontal="center" vertical="center" wrapText="1"/>
    </xf>
    <xf numFmtId="0" fontId="15" fillId="0" borderId="1" xfId="258" applyFont="1" applyFill="1" applyBorder="1" applyAlignment="1">
      <alignment horizontal="center" vertical="center" wrapText="1"/>
    </xf>
    <xf numFmtId="0" fontId="8" fillId="0" borderId="1" xfId="258" applyNumberFormat="1" applyFont="1" applyFill="1" applyBorder="1" applyAlignment="1">
      <alignment horizontal="center" vertical="center" wrapText="1"/>
    </xf>
    <xf numFmtId="49" fontId="8" fillId="0" borderId="1" xfId="245" applyNumberFormat="1" applyFont="1" applyFill="1" applyBorder="1" applyAlignment="1">
      <alignment horizontal="center" vertical="center"/>
    </xf>
    <xf numFmtId="4" fontId="8" fillId="0" borderId="1" xfId="235" applyNumberFormat="1" applyFont="1" applyFill="1" applyBorder="1" applyAlignment="1">
      <alignment horizontal="center" vertical="center"/>
    </xf>
    <xf numFmtId="0" fontId="16" fillId="0" borderId="1" xfId="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 fontId="16" fillId="0" borderId="1" xfId="1" applyNumberFormat="1" applyFont="1" applyFill="1" applyBorder="1" applyAlignment="1">
      <alignment horizontal="center" vertical="center" wrapText="1"/>
    </xf>
    <xf numFmtId="4" fontId="8" fillId="0" borderId="1" xfId="1" applyNumberFormat="1" applyFont="1" applyFill="1" applyBorder="1" applyAlignment="1">
      <alignment horizontal="center" vertical="center" wrapText="1"/>
    </xf>
    <xf numFmtId="4" fontId="8" fillId="0" borderId="1" xfId="1" applyNumberFormat="1" applyFont="1" applyFill="1" applyBorder="1" applyAlignment="1">
      <alignment horizontal="center" vertical="center"/>
    </xf>
    <xf numFmtId="4" fontId="8" fillId="0" borderId="1" xfId="213" applyNumberFormat="1" applyFont="1" applyBorder="1" applyAlignment="1">
      <alignment horizontal="center" vertical="center" wrapText="1"/>
    </xf>
    <xf numFmtId="4" fontId="10" fillId="6" borderId="0" xfId="258" applyNumberFormat="1" applyFont="1" applyFill="1" applyBorder="1" applyAlignment="1" applyProtection="1">
      <alignment horizontal="center" vertical="center" wrapText="1"/>
      <protection locked="0"/>
    </xf>
    <xf numFmtId="0" fontId="10" fillId="2" borderId="0" xfId="0" applyFont="1" applyFill="1" applyAlignment="1">
      <alignment horizontal="center"/>
    </xf>
    <xf numFmtId="0" fontId="13" fillId="15" borderId="0" xfId="0" applyFont="1" applyFill="1"/>
    <xf numFmtId="0" fontId="8" fillId="7" borderId="0" xfId="0" applyFont="1" applyFill="1" applyBorder="1" applyAlignment="1">
      <alignment horizontal="center"/>
    </xf>
    <xf numFmtId="0" fontId="11" fillId="6" borderId="0" xfId="0" applyFont="1" applyFill="1" applyBorder="1" applyAlignment="1">
      <alignment horizontal="center"/>
    </xf>
    <xf numFmtId="43" fontId="11" fillId="15" borderId="0" xfId="0" applyNumberFormat="1" applyFont="1" applyFill="1" applyBorder="1" applyAlignment="1">
      <alignment horizontal="center"/>
    </xf>
    <xf numFmtId="43" fontId="11" fillId="0" borderId="0" xfId="0" applyNumberFormat="1" applyFont="1" applyFill="1" applyBorder="1" applyAlignment="1">
      <alignment horizontal="center"/>
    </xf>
    <xf numFmtId="43" fontId="11" fillId="6" borderId="0" xfId="0" applyNumberFormat="1" applyFont="1" applyFill="1" applyBorder="1" applyAlignment="1">
      <alignment horizontal="center"/>
    </xf>
    <xf numFmtId="43" fontId="11" fillId="0" borderId="0" xfId="0" quotePrefix="1" applyNumberFormat="1" applyFont="1" applyFill="1" applyBorder="1" applyAlignment="1">
      <alignment horizontal="center"/>
    </xf>
    <xf numFmtId="43" fontId="11" fillId="16" borderId="0" xfId="0" applyNumberFormat="1" applyFont="1" applyFill="1" applyBorder="1" applyAlignment="1">
      <alignment horizontal="center"/>
    </xf>
    <xf numFmtId="43" fontId="13" fillId="15" borderId="0" xfId="0" applyNumberFormat="1" applyFont="1" applyFill="1" applyBorder="1" applyAlignment="1">
      <alignment horizontal="center"/>
    </xf>
    <xf numFmtId="43" fontId="11" fillId="3" borderId="0" xfId="0" applyNumberFormat="1" applyFont="1" applyFill="1" applyBorder="1" applyAlignment="1">
      <alignment horizontal="center"/>
    </xf>
    <xf numFmtId="43" fontId="12" fillId="6"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0" xfId="0" applyNumberFormat="1" applyFont="1" applyBorder="1" applyAlignment="1">
      <alignment horizontal="center"/>
    </xf>
    <xf numFmtId="0" fontId="8" fillId="7" borderId="0" xfId="0" applyNumberFormat="1" applyFont="1" applyFill="1" applyBorder="1" applyAlignment="1">
      <alignment horizontal="center"/>
    </xf>
    <xf numFmtId="0" fontId="10" fillId="6" borderId="0" xfId="258" applyNumberFormat="1" applyFont="1" applyFill="1" applyBorder="1" applyAlignment="1" applyProtection="1">
      <alignment horizontal="center" vertical="center" wrapText="1"/>
      <protection locked="0"/>
    </xf>
    <xf numFmtId="0" fontId="11" fillId="6" borderId="0" xfId="0" applyNumberFormat="1" applyFont="1" applyFill="1" applyBorder="1" applyAlignment="1">
      <alignment horizontal="center"/>
    </xf>
    <xf numFmtId="0" fontId="11" fillId="15" borderId="0"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16" borderId="18" xfId="0" applyNumberFormat="1" applyFont="1" applyFill="1" applyBorder="1" applyAlignment="1">
      <alignment horizontal="center"/>
    </xf>
    <xf numFmtId="0" fontId="11" fillId="0" borderId="0" xfId="0" quotePrefix="1" applyNumberFormat="1" applyFont="1" applyFill="1" applyBorder="1" applyAlignment="1">
      <alignment horizontal="center"/>
    </xf>
    <xf numFmtId="0" fontId="11" fillId="16" borderId="0" xfId="0" applyNumberFormat="1" applyFont="1" applyFill="1" applyBorder="1" applyAlignment="1">
      <alignment horizontal="center"/>
    </xf>
    <xf numFmtId="0" fontId="13" fillId="15" borderId="0" xfId="0" applyNumberFormat="1" applyFont="1" applyFill="1" applyBorder="1" applyAlignment="1">
      <alignment horizontal="center"/>
    </xf>
    <xf numFmtId="0" fontId="11" fillId="3" borderId="0" xfId="0" applyNumberFormat="1" applyFont="1" applyFill="1" applyBorder="1" applyAlignment="1">
      <alignment horizontal="center"/>
    </xf>
    <xf numFmtId="0" fontId="12" fillId="6" borderId="0" xfId="0" applyNumberFormat="1" applyFont="1" applyFill="1" applyBorder="1" applyAlignment="1">
      <alignment horizontal="center"/>
    </xf>
    <xf numFmtId="0" fontId="11" fillId="0" borderId="20" xfId="0" applyFont="1" applyBorder="1"/>
    <xf numFmtId="0" fontId="11" fillId="0" borderId="3" xfId="0" applyFont="1" applyBorder="1"/>
    <xf numFmtId="43" fontId="11" fillId="0" borderId="3" xfId="0" applyNumberFormat="1" applyFont="1" applyFill="1" applyBorder="1"/>
    <xf numFmtId="43" fontId="11" fillId="6" borderId="3" xfId="0" applyNumberFormat="1" applyFont="1" applyFill="1" applyBorder="1"/>
    <xf numFmtId="43" fontId="12" fillId="6" borderId="3" xfId="0" applyNumberFormat="1" applyFont="1" applyFill="1" applyBorder="1"/>
    <xf numFmtId="0" fontId="16" fillId="2" borderId="0" xfId="0" applyNumberFormat="1" applyFont="1" applyFill="1" applyBorder="1" applyAlignment="1">
      <alignment horizontal="center"/>
    </xf>
    <xf numFmtId="0" fontId="10" fillId="2" borderId="1" xfId="0" applyNumberFormat="1" applyFont="1" applyFill="1" applyBorder="1" applyAlignment="1">
      <alignment horizontal="center"/>
    </xf>
    <xf numFmtId="0" fontId="8" fillId="2" borderId="1" xfId="0" applyNumberFormat="1" applyFont="1" applyFill="1" applyBorder="1" applyAlignment="1">
      <alignment horizontal="center"/>
    </xf>
    <xf numFmtId="0" fontId="8" fillId="7" borderId="1" xfId="0" applyNumberFormat="1" applyFont="1" applyFill="1" applyBorder="1" applyAlignment="1">
      <alignment horizontal="center"/>
    </xf>
    <xf numFmtId="0" fontId="10" fillId="6" borderId="1" xfId="258" applyNumberFormat="1" applyFont="1" applyFill="1" applyBorder="1" applyAlignment="1" applyProtection="1">
      <alignment horizontal="center" vertical="center" wrapText="1"/>
      <protection locked="0"/>
    </xf>
    <xf numFmtId="0" fontId="11" fillId="0" borderId="1" xfId="0" applyNumberFormat="1" applyFont="1" applyBorder="1" applyAlignment="1">
      <alignment horizontal="center"/>
    </xf>
    <xf numFmtId="0" fontId="11" fillId="6" borderId="1" xfId="0" applyNumberFormat="1" applyFont="1" applyFill="1" applyBorder="1" applyAlignment="1">
      <alignment horizontal="center"/>
    </xf>
    <xf numFmtId="0" fontId="11" fillId="15" borderId="1" xfId="0" applyNumberFormat="1" applyFont="1" applyFill="1" applyBorder="1" applyAlignment="1">
      <alignment horizontal="center"/>
    </xf>
    <xf numFmtId="0" fontId="11" fillId="0" borderId="1" xfId="0" applyNumberFormat="1" applyFont="1" applyFill="1" applyBorder="1" applyAlignment="1">
      <alignment horizontal="center"/>
    </xf>
    <xf numFmtId="0" fontId="11" fillId="16" borderId="1" xfId="0" applyNumberFormat="1" applyFont="1" applyFill="1" applyBorder="1" applyAlignment="1">
      <alignment horizontal="center"/>
    </xf>
    <xf numFmtId="0" fontId="11" fillId="0" borderId="1" xfId="0" quotePrefix="1" applyNumberFormat="1" applyFont="1" applyFill="1" applyBorder="1" applyAlignment="1">
      <alignment horizontal="center"/>
    </xf>
    <xf numFmtId="0" fontId="13" fillId="15" borderId="1" xfId="0" applyNumberFormat="1" applyFont="1" applyFill="1" applyBorder="1" applyAlignment="1">
      <alignment horizontal="center"/>
    </xf>
    <xf numFmtId="0" fontId="11" fillId="3" borderId="1" xfId="0" applyNumberFormat="1" applyFont="1" applyFill="1" applyBorder="1" applyAlignment="1">
      <alignment horizontal="center"/>
    </xf>
    <xf numFmtId="0" fontId="12" fillId="6" borderId="1" xfId="0" applyNumberFormat="1" applyFont="1" applyFill="1" applyBorder="1" applyAlignment="1">
      <alignment horizontal="center"/>
    </xf>
    <xf numFmtId="173" fontId="10" fillId="4" borderId="0" xfId="449" applyFont="1" applyFill="1" applyBorder="1" applyAlignment="1" applyProtection="1">
      <alignment horizontal="left" wrapText="1"/>
    </xf>
    <xf numFmtId="0" fontId="8" fillId="2" borderId="16" xfId="0" applyFont="1" applyFill="1" applyBorder="1" applyAlignment="1"/>
    <xf numFmtId="0" fontId="13" fillId="10" borderId="1" xfId="0" applyNumberFormat="1" applyFont="1" applyFill="1" applyBorder="1" applyAlignment="1">
      <alignment horizontal="center"/>
    </xf>
    <xf numFmtId="43" fontId="13" fillId="10" borderId="0" xfId="0" applyNumberFormat="1" applyFont="1" applyFill="1" applyBorder="1" applyAlignment="1">
      <alignment horizontal="center"/>
    </xf>
    <xf numFmtId="0" fontId="13" fillId="10" borderId="0" xfId="0" applyNumberFormat="1" applyFont="1" applyFill="1" applyBorder="1" applyAlignment="1">
      <alignment horizontal="center"/>
    </xf>
    <xf numFmtId="0" fontId="13" fillId="10" borderId="0" xfId="0" applyFont="1" applyFill="1"/>
    <xf numFmtId="4" fontId="8" fillId="10" borderId="1" xfId="258" applyNumberFormat="1" applyFont="1" applyFill="1" applyBorder="1" applyAlignment="1">
      <alignment vertical="center"/>
    </xf>
    <xf numFmtId="43" fontId="11" fillId="10" borderId="3" xfId="454" applyFont="1" applyFill="1" applyBorder="1" applyAlignment="1">
      <alignment horizontal="right" vertical="center"/>
    </xf>
    <xf numFmtId="43" fontId="11" fillId="10" borderId="3" xfId="0" applyNumberFormat="1" applyFont="1" applyFill="1" applyBorder="1"/>
    <xf numFmtId="0" fontId="11" fillId="10" borderId="1" xfId="0" applyNumberFormat="1" applyFont="1" applyFill="1" applyBorder="1" applyAlignment="1">
      <alignment horizontal="center"/>
    </xf>
    <xf numFmtId="43" fontId="11" fillId="10" borderId="0" xfId="0" applyNumberFormat="1" applyFont="1" applyFill="1" applyBorder="1" applyAlignment="1">
      <alignment horizontal="center"/>
    </xf>
    <xf numFmtId="0" fontId="11" fillId="10" borderId="0" xfId="0" applyNumberFormat="1" applyFont="1" applyFill="1" applyBorder="1" applyAlignment="1">
      <alignment horizontal="center"/>
    </xf>
    <xf numFmtId="0" fontId="11" fillId="10" borderId="0" xfId="0" applyFont="1" applyFill="1"/>
    <xf numFmtId="3" fontId="8" fillId="10" borderId="1" xfId="213" applyNumberFormat="1" applyFont="1" applyFill="1" applyBorder="1" applyAlignment="1">
      <alignment horizontal="center" vertical="center" wrapText="1"/>
    </xf>
    <xf numFmtId="4" fontId="8" fillId="10" borderId="1" xfId="366" applyNumberFormat="1" applyFont="1" applyFill="1" applyBorder="1" applyAlignment="1">
      <alignment horizontal="center" vertical="center"/>
    </xf>
    <xf numFmtId="4" fontId="8" fillId="10" borderId="1" xfId="366" applyNumberFormat="1" applyFont="1" applyFill="1" applyBorder="1" applyAlignment="1">
      <alignment horizontal="right" vertical="center"/>
    </xf>
    <xf numFmtId="4" fontId="8" fillId="10" borderId="1" xfId="213" applyNumberFormat="1" applyFont="1" applyFill="1" applyBorder="1" applyAlignment="1">
      <alignment vertical="center" wrapText="1"/>
    </xf>
    <xf numFmtId="173" fontId="10" fillId="2" borderId="0" xfId="449" applyFont="1" applyFill="1" applyBorder="1" applyAlignment="1" applyProtection="1">
      <alignment horizontal="center"/>
    </xf>
    <xf numFmtId="1" fontId="10" fillId="2" borderId="0" xfId="449" applyNumberFormat="1" applyFont="1" applyFill="1" applyBorder="1" applyAlignment="1" applyProtection="1">
      <alignment horizontal="center"/>
    </xf>
    <xf numFmtId="43" fontId="8" fillId="0" borderId="4" xfId="454" applyFont="1" applyFill="1" applyBorder="1" applyAlignment="1">
      <alignment horizontal="right" vertical="center"/>
    </xf>
    <xf numFmtId="43" fontId="8" fillId="0" borderId="3" xfId="454" applyFont="1" applyFill="1" applyBorder="1" applyAlignment="1">
      <alignment horizontal="right" vertical="center"/>
    </xf>
    <xf numFmtId="43" fontId="8" fillId="0" borderId="3" xfId="0" applyNumberFormat="1" applyFont="1" applyFill="1" applyBorder="1"/>
    <xf numFmtId="0" fontId="8" fillId="0" borderId="1" xfId="0" applyNumberFormat="1" applyFont="1" applyFill="1" applyBorder="1" applyAlignment="1">
      <alignment horizontal="center"/>
    </xf>
    <xf numFmtId="43" fontId="8" fillId="0" borderId="0" xfId="0" applyNumberFormat="1" applyFont="1" applyFill="1" applyBorder="1" applyAlignment="1">
      <alignment horizontal="center"/>
    </xf>
    <xf numFmtId="0" fontId="8" fillId="0" borderId="0" xfId="0" applyNumberFormat="1" applyFont="1" applyFill="1" applyBorder="1" applyAlignment="1">
      <alignment horizontal="center"/>
    </xf>
    <xf numFmtId="0" fontId="8" fillId="2" borderId="21" xfId="0" applyFont="1" applyFill="1" applyBorder="1" applyAlignment="1">
      <alignment horizontal="center"/>
    </xf>
    <xf numFmtId="4" fontId="8" fillId="10" borderId="1" xfId="213" applyNumberFormat="1" applyFont="1" applyFill="1" applyBorder="1" applyAlignment="1">
      <alignment horizontal="center" vertical="center" wrapText="1"/>
    </xf>
    <xf numFmtId="44" fontId="11" fillId="10" borderId="4" xfId="12" applyFont="1" applyFill="1" applyBorder="1" applyAlignment="1">
      <alignment horizontal="right" vertical="center"/>
    </xf>
    <xf numFmtId="0" fontId="13" fillId="9" borderId="1" xfId="0" applyNumberFormat="1" applyFont="1" applyFill="1" applyBorder="1" applyAlignment="1">
      <alignment horizontal="center"/>
    </xf>
    <xf numFmtId="43" fontId="13" fillId="9" borderId="0" xfId="0" applyNumberFormat="1" applyFont="1" applyFill="1" applyBorder="1" applyAlignment="1">
      <alignment horizontal="center"/>
    </xf>
    <xf numFmtId="0" fontId="13" fillId="9" borderId="0" xfId="0" applyNumberFormat="1" applyFont="1" applyFill="1" applyBorder="1" applyAlignment="1">
      <alignment horizontal="center"/>
    </xf>
    <xf numFmtId="0" fontId="13" fillId="9" borderId="0" xfId="0" applyFont="1" applyFill="1"/>
    <xf numFmtId="4" fontId="8" fillId="10" borderId="1" xfId="213" applyNumberFormat="1" applyFont="1" applyFill="1" applyBorder="1" applyAlignment="1">
      <alignment horizontal="right" vertical="center" wrapText="1"/>
    </xf>
    <xf numFmtId="0" fontId="35" fillId="2" borderId="0" xfId="0" applyFont="1" applyFill="1" applyAlignment="1">
      <alignment horizontal="center" vertical="center"/>
    </xf>
    <xf numFmtId="0" fontId="34" fillId="2" borderId="0" xfId="0" applyFont="1" applyFill="1" applyAlignment="1">
      <alignment horizontal="center" vertical="center" wrapText="1"/>
    </xf>
    <xf numFmtId="0" fontId="36" fillId="2" borderId="0" xfId="0" applyFont="1" applyFill="1" applyAlignment="1">
      <alignment horizontal="center" vertical="center"/>
    </xf>
    <xf numFmtId="0" fontId="36" fillId="4" borderId="0" xfId="0" applyFont="1" applyFill="1" applyAlignment="1">
      <alignment horizontal="center" vertical="center"/>
    </xf>
    <xf numFmtId="0" fontId="37" fillId="2" borderId="0" xfId="0" applyFont="1" applyFill="1" applyAlignment="1">
      <alignment horizontal="center" vertical="center" wrapText="1"/>
    </xf>
    <xf numFmtId="0" fontId="38" fillId="2" borderId="0" xfId="0" applyFont="1" applyFill="1" applyAlignment="1">
      <alignment horizontal="center" vertical="center"/>
    </xf>
    <xf numFmtId="0" fontId="39" fillId="2" borderId="0" xfId="0" applyFont="1" applyFill="1" applyAlignment="1">
      <alignment horizontal="center" vertical="center"/>
    </xf>
    <xf numFmtId="0" fontId="39" fillId="4" borderId="0" xfId="0" applyFont="1" applyFill="1" applyAlignment="1">
      <alignment horizontal="center" vertical="center"/>
    </xf>
    <xf numFmtId="0" fontId="40" fillId="2" borderId="0" xfId="0" applyFont="1" applyFill="1" applyAlignment="1">
      <alignment horizontal="center" vertical="center" wrapText="1"/>
    </xf>
    <xf numFmtId="0" fontId="41" fillId="2" borderId="0" xfId="0" applyFont="1" applyFill="1" applyAlignment="1">
      <alignment horizontal="center" vertical="center"/>
    </xf>
    <xf numFmtId="0" fontId="35" fillId="4" borderId="0" xfId="0" applyFont="1" applyFill="1" applyAlignment="1">
      <alignment horizontal="center" vertical="center"/>
    </xf>
    <xf numFmtId="0" fontId="27" fillId="2" borderId="0" xfId="0" applyFont="1" applyFill="1" applyAlignment="1">
      <alignment horizontal="center" vertical="center"/>
    </xf>
    <xf numFmtId="0" fontId="13" fillId="0" borderId="0" xfId="0" applyFont="1" applyFill="1" applyAlignment="1"/>
    <xf numFmtId="0" fontId="8" fillId="0" borderId="4" xfId="0" applyFont="1" applyFill="1" applyBorder="1"/>
    <xf numFmtId="0" fontId="8" fillId="0" borderId="3" xfId="0" applyFont="1" applyFill="1" applyBorder="1"/>
    <xf numFmtId="0" fontId="10" fillId="0" borderId="4" xfId="0" applyFont="1" applyFill="1" applyBorder="1"/>
    <xf numFmtId="0" fontId="10" fillId="0" borderId="1" xfId="0" applyFont="1" applyFill="1" applyBorder="1"/>
    <xf numFmtId="0" fontId="10" fillId="0" borderId="1" xfId="0" applyFont="1" applyFill="1" applyBorder="1" applyAlignment="1">
      <alignment horizontal="center"/>
    </xf>
    <xf numFmtId="0" fontId="8" fillId="0" borderId="1" xfId="0" applyFont="1" applyFill="1" applyBorder="1" applyAlignment="1">
      <alignment horizontal="center"/>
    </xf>
    <xf numFmtId="43" fontId="8" fillId="0" borderId="3" xfId="0" quotePrefix="1" applyNumberFormat="1" applyFont="1" applyFill="1" applyBorder="1"/>
    <xf numFmtId="43" fontId="8" fillId="0" borderId="4" xfId="454" applyFont="1" applyFill="1" applyBorder="1" applyAlignment="1">
      <alignment vertical="center"/>
    </xf>
    <xf numFmtId="4" fontId="10" fillId="0" borderId="4" xfId="0" applyNumberFormat="1" applyFont="1" applyFill="1" applyBorder="1"/>
    <xf numFmtId="4" fontId="8" fillId="0" borderId="1" xfId="258" applyNumberFormat="1" applyFont="1" applyFill="1" applyBorder="1" applyAlignment="1">
      <alignment horizontal="center" vertical="center" wrapText="1"/>
    </xf>
    <xf numFmtId="44" fontId="8" fillId="0" borderId="4" xfId="12" applyFont="1" applyFill="1" applyBorder="1"/>
    <xf numFmtId="44" fontId="10" fillId="0" borderId="4" xfId="12" applyFont="1" applyFill="1" applyBorder="1"/>
    <xf numFmtId="4" fontId="8" fillId="0" borderId="1" xfId="1" applyNumberFormat="1" applyFont="1" applyFill="1" applyBorder="1" applyAlignment="1">
      <alignment horizontal="center" wrapText="1"/>
    </xf>
    <xf numFmtId="4" fontId="8" fillId="0" borderId="1" xfId="1" applyNumberFormat="1" applyFont="1" applyFill="1" applyBorder="1" applyAlignment="1">
      <alignment horizontal="right" wrapText="1"/>
    </xf>
    <xf numFmtId="4" fontId="8" fillId="0" borderId="1" xfId="245" applyNumberFormat="1" applyFont="1" applyFill="1" applyBorder="1" applyAlignment="1">
      <alignment horizontal="center" vertical="center" wrapText="1"/>
    </xf>
    <xf numFmtId="4" fontId="8" fillId="0" borderId="1" xfId="245" applyNumberFormat="1" applyFont="1" applyFill="1" applyBorder="1" applyAlignment="1">
      <alignment horizontal="right" vertical="center" wrapText="1"/>
    </xf>
    <xf numFmtId="2" fontId="10" fillId="0" borderId="1" xfId="213" applyNumberFormat="1" applyFont="1" applyFill="1" applyBorder="1" applyAlignment="1">
      <alignment horizontal="right" vertical="center" wrapText="1"/>
    </xf>
    <xf numFmtId="0" fontId="8" fillId="0" borderId="1" xfId="235" applyFont="1" applyFill="1" applyBorder="1" applyAlignment="1">
      <alignment vertical="top" wrapText="1"/>
    </xf>
    <xf numFmtId="4" fontId="8" fillId="0" borderId="1" xfId="245" applyNumberFormat="1" applyFont="1" applyFill="1" applyBorder="1" applyAlignment="1">
      <alignment horizontal="center" vertical="center"/>
    </xf>
    <xf numFmtId="1" fontId="10" fillId="0" borderId="1" xfId="235" quotePrefix="1" applyNumberFormat="1" applyFont="1" applyFill="1" applyBorder="1" applyAlignment="1">
      <alignment horizontal="center" vertical="center"/>
    </xf>
    <xf numFmtId="49" fontId="8" fillId="0" borderId="1" xfId="235" applyNumberFormat="1" applyFont="1" applyFill="1" applyBorder="1" applyAlignment="1">
      <alignment horizontal="center" vertical="center"/>
    </xf>
    <xf numFmtId="4" fontId="10" fillId="0" borderId="1" xfId="245" applyNumberFormat="1" applyFont="1" applyFill="1" applyBorder="1" applyAlignment="1">
      <alignment horizontal="right"/>
    </xf>
    <xf numFmtId="44" fontId="8" fillId="0" borderId="4" xfId="12" applyFont="1" applyFill="1" applyBorder="1" applyAlignment="1">
      <alignment horizontal="right" vertical="center"/>
    </xf>
    <xf numFmtId="0" fontId="8" fillId="0" borderId="1" xfId="233" applyFont="1" applyFill="1" applyBorder="1" applyAlignment="1">
      <alignment horizontal="center" vertical="center" wrapText="1"/>
    </xf>
    <xf numFmtId="0" fontId="8" fillId="0" borderId="1" xfId="233" applyFont="1" applyFill="1" applyBorder="1" applyAlignment="1">
      <alignment horizontal="justify" vertical="center"/>
    </xf>
    <xf numFmtId="0" fontId="3" fillId="2" borderId="0" xfId="212" applyFill="1"/>
    <xf numFmtId="0" fontId="43" fillId="2" borderId="0" xfId="212" applyFont="1" applyFill="1" applyBorder="1" applyAlignment="1">
      <alignment horizontal="center"/>
    </xf>
    <xf numFmtId="170" fontId="43" fillId="2" borderId="0" xfId="212" applyNumberFormat="1" applyFont="1" applyFill="1" applyBorder="1" applyAlignment="1">
      <alignment horizontal="center"/>
    </xf>
    <xf numFmtId="0" fontId="43" fillId="2" borderId="0" xfId="212" applyFont="1" applyFill="1" applyBorder="1" applyAlignment="1">
      <alignment wrapText="1"/>
    </xf>
    <xf numFmtId="2" fontId="43" fillId="2" borderId="0" xfId="212" applyNumberFormat="1" applyFont="1" applyFill="1" applyBorder="1" applyAlignment="1">
      <alignment horizontal="center"/>
    </xf>
    <xf numFmtId="2" fontId="43" fillId="2" borderId="0" xfId="212" applyNumberFormat="1" applyFont="1" applyFill="1" applyBorder="1" applyAlignment="1" applyProtection="1">
      <alignment horizontal="center"/>
    </xf>
    <xf numFmtId="2" fontId="44" fillId="2" borderId="0" xfId="212" applyNumberFormat="1" applyFont="1" applyFill="1" applyBorder="1" applyAlignment="1" applyProtection="1"/>
    <xf numFmtId="2" fontId="43" fillId="2" borderId="0" xfId="212" applyNumberFormat="1" applyFont="1" applyFill="1" applyBorder="1" applyAlignment="1" applyProtection="1"/>
    <xf numFmtId="0" fontId="3" fillId="2" borderId="0" xfId="212" applyFill="1" applyBorder="1"/>
    <xf numFmtId="0" fontId="8" fillId="2" borderId="0" xfId="212" applyFont="1" applyFill="1" applyBorder="1" applyAlignment="1"/>
    <xf numFmtId="170" fontId="8" fillId="2" borderId="0" xfId="212" applyNumberFormat="1" applyFont="1" applyFill="1" applyBorder="1" applyAlignment="1">
      <alignment horizontal="center"/>
    </xf>
    <xf numFmtId="0" fontId="8" fillId="2" borderId="0" xfId="212" applyFont="1" applyFill="1" applyBorder="1" applyAlignment="1">
      <alignment horizontal="justify" wrapText="1"/>
    </xf>
    <xf numFmtId="0" fontId="8" fillId="2" borderId="0" xfId="212" applyFont="1" applyFill="1" applyBorder="1" applyAlignment="1">
      <alignment horizontal="center"/>
    </xf>
    <xf numFmtId="4" fontId="8" fillId="2" borderId="0" xfId="448" applyNumberFormat="1" applyFont="1" applyFill="1" applyBorder="1" applyAlignment="1">
      <alignment horizontal="center"/>
    </xf>
    <xf numFmtId="0" fontId="8" fillId="0" borderId="0" xfId="212" applyFont="1" applyFill="1" applyAlignment="1"/>
    <xf numFmtId="0" fontId="8" fillId="2" borderId="0" xfId="212" applyFont="1" applyFill="1" applyAlignment="1"/>
    <xf numFmtId="0" fontId="10" fillId="2" borderId="0" xfId="212" applyFont="1" applyFill="1" applyBorder="1" applyAlignment="1">
      <alignment horizontal="left"/>
    </xf>
    <xf numFmtId="0" fontId="10" fillId="2" borderId="0" xfId="212" applyFont="1" applyFill="1" applyBorder="1" applyAlignment="1">
      <alignment horizontal="center"/>
    </xf>
    <xf numFmtId="49" fontId="8" fillId="2" borderId="0" xfId="212" applyNumberFormat="1" applyFont="1" applyFill="1" applyBorder="1" applyAlignment="1">
      <alignment horizontal="justify" wrapText="1"/>
    </xf>
    <xf numFmtId="0" fontId="10" fillId="2" borderId="0" xfId="212" applyFont="1" applyFill="1" applyAlignment="1">
      <alignment horizontal="center"/>
    </xf>
    <xf numFmtId="49" fontId="10" fillId="2" borderId="0" xfId="212" applyNumberFormat="1" applyFont="1" applyFill="1" applyBorder="1" applyAlignment="1">
      <alignment horizontal="justify" wrapText="1"/>
    </xf>
    <xf numFmtId="0" fontId="8" fillId="2" borderId="0" xfId="212" applyFont="1" applyFill="1" applyAlignment="1">
      <alignment horizontal="center"/>
    </xf>
    <xf numFmtId="0" fontId="31" fillId="4" borderId="0" xfId="212" applyFont="1" applyFill="1" applyProtection="1"/>
    <xf numFmtId="173" fontId="45" fillId="4" borderId="0" xfId="465" applyFont="1" applyFill="1" applyBorder="1" applyAlignment="1" applyProtection="1">
      <alignment horizontal="center"/>
    </xf>
    <xf numFmtId="0" fontId="3" fillId="4" borderId="0" xfId="212" applyFont="1" applyFill="1" applyProtection="1"/>
    <xf numFmtId="173" fontId="3" fillId="4" borderId="0" xfId="465" applyFont="1" applyFill="1" applyBorder="1" applyAlignment="1" applyProtection="1"/>
    <xf numFmtId="0" fontId="31" fillId="4" borderId="0" xfId="212" applyFont="1" applyFill="1" applyAlignment="1" applyProtection="1"/>
    <xf numFmtId="2" fontId="47" fillId="17" borderId="23" xfId="466" applyNumberFormat="1" applyFont="1" applyFill="1" applyBorder="1" applyProtection="1"/>
    <xf numFmtId="2" fontId="47" fillId="17" borderId="24" xfId="466" applyNumberFormat="1" applyFont="1" applyFill="1" applyBorder="1" applyProtection="1"/>
    <xf numFmtId="0" fontId="30" fillId="5" borderId="0" xfId="212" applyFont="1" applyFill="1" applyAlignment="1" applyProtection="1">
      <alignment horizontal="center"/>
    </xf>
    <xf numFmtId="0" fontId="3" fillId="5" borderId="0" xfId="212" applyFont="1" applyFill="1" applyProtection="1"/>
    <xf numFmtId="2" fontId="48" fillId="17" borderId="27" xfId="466" applyNumberFormat="1" applyFont="1" applyFill="1" applyBorder="1" applyAlignment="1" applyProtection="1">
      <alignment horizontal="center"/>
    </xf>
    <xf numFmtId="2" fontId="48" fillId="17" borderId="28" xfId="466" applyNumberFormat="1" applyFont="1" applyFill="1" applyBorder="1" applyAlignment="1" applyProtection="1">
      <alignment horizontal="center"/>
    </xf>
    <xf numFmtId="2" fontId="48" fillId="17" borderId="25" xfId="466" applyNumberFormat="1" applyFont="1" applyFill="1" applyBorder="1" applyAlignment="1" applyProtection="1">
      <alignment horizontal="center" vertical="center"/>
    </xf>
    <xf numFmtId="1" fontId="8" fillId="5" borderId="29" xfId="212" applyNumberFormat="1" applyFont="1" applyFill="1" applyBorder="1" applyAlignment="1" applyProtection="1">
      <alignment horizontal="left" vertical="top" wrapText="1"/>
    </xf>
    <xf numFmtId="1" fontId="8" fillId="5" borderId="30" xfId="212" applyNumberFormat="1" applyFont="1" applyFill="1" applyBorder="1" applyAlignment="1" applyProtection="1">
      <alignment horizontal="left" vertical="top" wrapText="1"/>
    </xf>
    <xf numFmtId="178" fontId="47" fillId="5" borderId="30" xfId="466" applyNumberFormat="1" applyFont="1" applyFill="1" applyBorder="1" applyAlignment="1" applyProtection="1">
      <alignment horizontal="right"/>
    </xf>
    <xf numFmtId="10" fontId="0" fillId="5" borderId="31" xfId="451" applyNumberFormat="1" applyFont="1" applyFill="1" applyBorder="1" applyAlignment="1" applyProtection="1"/>
    <xf numFmtId="2" fontId="47" fillId="5" borderId="32" xfId="466" applyNumberFormat="1" applyFont="1" applyFill="1" applyBorder="1" applyProtection="1"/>
    <xf numFmtId="2" fontId="47" fillId="5" borderId="33" xfId="466" applyNumberFormat="1" applyFont="1" applyFill="1" applyBorder="1" applyProtection="1"/>
    <xf numFmtId="10" fontId="47" fillId="5" borderId="31" xfId="452" applyNumberFormat="1" applyFont="1" applyFill="1" applyBorder="1" applyAlignment="1" applyProtection="1">
      <alignment horizontal="center"/>
    </xf>
    <xf numFmtId="1" fontId="10" fillId="5" borderId="30" xfId="212" applyNumberFormat="1" applyFont="1" applyFill="1" applyBorder="1" applyAlignment="1" applyProtection="1">
      <alignment horizontal="left" vertical="top" wrapText="1"/>
    </xf>
    <xf numFmtId="170" fontId="10" fillId="5" borderId="34" xfId="212" applyNumberFormat="1" applyFont="1" applyFill="1" applyBorder="1" applyAlignment="1" applyProtection="1">
      <alignment horizontal="right" vertical="top"/>
    </xf>
    <xf numFmtId="2" fontId="47" fillId="5" borderId="34" xfId="466" applyNumberFormat="1" applyFont="1" applyFill="1" applyBorder="1" applyAlignment="1" applyProtection="1">
      <alignment wrapText="1"/>
    </xf>
    <xf numFmtId="178" fontId="49" fillId="5" borderId="34" xfId="466" applyNumberFormat="1" applyFont="1" applyFill="1" applyBorder="1" applyAlignment="1" applyProtection="1">
      <alignment horizontal="right"/>
    </xf>
    <xf numFmtId="2" fontId="47" fillId="5" borderId="34" xfId="466" applyNumberFormat="1" applyFont="1" applyFill="1" applyBorder="1" applyAlignment="1" applyProtection="1">
      <alignment horizontal="center"/>
    </xf>
    <xf numFmtId="2" fontId="47" fillId="5" borderId="34" xfId="466" applyNumberFormat="1" applyFont="1" applyFill="1" applyBorder="1" applyProtection="1"/>
    <xf numFmtId="0" fontId="31" fillId="5" borderId="0" xfId="212" applyFont="1" applyFill="1" applyProtection="1"/>
    <xf numFmtId="2" fontId="8" fillId="17" borderId="35" xfId="466" applyNumberFormat="1" applyFont="1" applyFill="1" applyBorder="1" applyAlignment="1" applyProtection="1">
      <alignment horizontal="right"/>
    </xf>
    <xf numFmtId="2" fontId="10" fillId="17" borderId="36" xfId="466" applyNumberFormat="1" applyFont="1" applyFill="1" applyBorder="1" applyAlignment="1" applyProtection="1">
      <alignment horizontal="right"/>
    </xf>
    <xf numFmtId="178" fontId="10" fillId="17" borderId="34" xfId="466" applyNumberFormat="1" applyFont="1" applyFill="1" applyBorder="1" applyProtection="1"/>
    <xf numFmtId="9" fontId="10" fillId="17" borderId="37" xfId="452" applyFont="1" applyFill="1" applyBorder="1" applyAlignment="1" applyProtection="1">
      <alignment horizontal="center"/>
    </xf>
    <xf numFmtId="10" fontId="8" fillId="17" borderId="25" xfId="452" applyNumberFormat="1" applyFont="1" applyFill="1" applyBorder="1" applyAlignment="1" applyProtection="1">
      <alignment horizontal="center"/>
    </xf>
    <xf numFmtId="10" fontId="10" fillId="17" borderId="34" xfId="452" applyNumberFormat="1" applyFont="1" applyFill="1" applyBorder="1" applyAlignment="1" applyProtection="1"/>
    <xf numFmtId="10" fontId="10" fillId="17" borderId="25" xfId="452" applyNumberFormat="1" applyFont="1" applyFill="1" applyBorder="1" applyAlignment="1" applyProtection="1"/>
    <xf numFmtId="2" fontId="8" fillId="17" borderId="27" xfId="466" applyNumberFormat="1" applyFont="1" applyFill="1" applyBorder="1" applyAlignment="1" applyProtection="1">
      <alignment horizontal="right"/>
    </xf>
    <xf numFmtId="2" fontId="10" fillId="17" borderId="28" xfId="466" applyNumberFormat="1" applyFont="1" applyFill="1" applyBorder="1" applyAlignment="1" applyProtection="1">
      <alignment horizontal="right"/>
    </xf>
    <xf numFmtId="174" fontId="8" fillId="17" borderId="35" xfId="453" applyFont="1" applyFill="1" applyBorder="1" applyAlignment="1" applyProtection="1"/>
    <xf numFmtId="174" fontId="8" fillId="17" borderId="34" xfId="453" applyFont="1" applyFill="1" applyBorder="1" applyAlignment="1" applyProtection="1">
      <alignment horizontal="center"/>
    </xf>
    <xf numFmtId="170" fontId="3" fillId="5" borderId="0" xfId="212" applyNumberFormat="1" applyFont="1" applyFill="1" applyProtection="1"/>
    <xf numFmtId="0" fontId="3" fillId="5" borderId="0" xfId="212" applyFont="1" applyFill="1" applyAlignment="1" applyProtection="1">
      <alignment horizontal="center"/>
    </xf>
    <xf numFmtId="173" fontId="0" fillId="5" borderId="0" xfId="465" applyFont="1" applyFill="1" applyBorder="1" applyAlignment="1" applyProtection="1"/>
    <xf numFmtId="0" fontId="3" fillId="5" borderId="0" xfId="212" applyFont="1" applyFill="1" applyAlignment="1" applyProtection="1"/>
    <xf numFmtId="170" fontId="3" fillId="5" borderId="0" xfId="212" applyNumberFormat="1" applyFont="1" applyFill="1" applyAlignment="1" applyProtection="1">
      <alignment horizontal="center"/>
    </xf>
    <xf numFmtId="170" fontId="3" fillId="5" borderId="0" xfId="212" applyNumberFormat="1" applyFont="1" applyFill="1" applyAlignment="1" applyProtection="1"/>
    <xf numFmtId="170" fontId="31" fillId="5" borderId="0" xfId="212" applyNumberFormat="1" applyFont="1" applyFill="1" applyProtection="1"/>
    <xf numFmtId="43" fontId="47" fillId="5" borderId="31" xfId="454" applyFont="1" applyFill="1" applyBorder="1" applyAlignment="1" applyProtection="1">
      <alignment horizontal="center"/>
    </xf>
    <xf numFmtId="2" fontId="3" fillId="5" borderId="0" xfId="212" applyNumberFormat="1" applyFont="1" applyFill="1" applyProtection="1"/>
    <xf numFmtId="0" fontId="45" fillId="0" borderId="1" xfId="234" applyFont="1" applyBorder="1" applyAlignment="1">
      <alignment horizontal="center"/>
    </xf>
    <xf numFmtId="0" fontId="3" fillId="0" borderId="1" xfId="234" applyBorder="1"/>
    <xf numFmtId="0" fontId="3" fillId="0" borderId="0" xfId="234"/>
    <xf numFmtId="0" fontId="45" fillId="0" borderId="1" xfId="234" applyFont="1" applyBorder="1" applyAlignment="1">
      <alignment horizontal="left"/>
    </xf>
    <xf numFmtId="0" fontId="45" fillId="18" borderId="1" xfId="234" applyFont="1" applyFill="1" applyBorder="1"/>
    <xf numFmtId="175" fontId="3" fillId="0" borderId="1" xfId="462" applyBorder="1"/>
    <xf numFmtId="0" fontId="0" fillId="0" borderId="1" xfId="234" applyFont="1" applyBorder="1" applyAlignment="1">
      <alignment wrapText="1"/>
    </xf>
    <xf numFmtId="4" fontId="3" fillId="0" borderId="1" xfId="234" applyNumberFormat="1" applyBorder="1" applyAlignment="1">
      <alignment wrapText="1"/>
    </xf>
    <xf numFmtId="0" fontId="8" fillId="2" borderId="10" xfId="0" applyNumberFormat="1" applyFont="1" applyFill="1" applyBorder="1" applyAlignment="1">
      <alignment horizontal="justify" vertical="center" wrapText="1"/>
    </xf>
    <xf numFmtId="0" fontId="8" fillId="2" borderId="11" xfId="0" applyNumberFormat="1" applyFont="1" applyFill="1" applyBorder="1" applyAlignment="1">
      <alignment horizontal="justify" vertical="center" wrapText="1"/>
    </xf>
    <xf numFmtId="0" fontId="8" fillId="2" borderId="12" xfId="0" applyNumberFormat="1" applyFont="1" applyFill="1" applyBorder="1" applyAlignment="1">
      <alignment horizontal="justify" vertical="center" wrapText="1"/>
    </xf>
    <xf numFmtId="0" fontId="8" fillId="2" borderId="13" xfId="0" applyNumberFormat="1" applyFont="1" applyFill="1" applyBorder="1" applyAlignment="1">
      <alignment horizontal="justify" vertical="center" wrapText="1"/>
    </xf>
    <xf numFmtId="0" fontId="8" fillId="2" borderId="0" xfId="0" applyNumberFormat="1" applyFont="1" applyFill="1" applyBorder="1" applyAlignment="1">
      <alignment horizontal="justify" vertical="center" wrapText="1"/>
    </xf>
    <xf numFmtId="0" fontId="8" fillId="2" borderId="14" xfId="0" applyNumberFormat="1" applyFont="1" applyFill="1" applyBorder="1" applyAlignment="1">
      <alignment horizontal="justify" vertical="center" wrapText="1"/>
    </xf>
    <xf numFmtId="0" fontId="8" fillId="2" borderId="15" xfId="0" applyNumberFormat="1" applyFont="1" applyFill="1" applyBorder="1" applyAlignment="1">
      <alignment horizontal="justify" vertical="center" wrapText="1"/>
    </xf>
    <xf numFmtId="0" fontId="8" fillId="2" borderId="16" xfId="0" applyNumberFormat="1" applyFont="1" applyFill="1" applyBorder="1" applyAlignment="1">
      <alignment horizontal="justify" vertical="center" wrapText="1"/>
    </xf>
    <xf numFmtId="0" fontId="8" fillId="2" borderId="17" xfId="0" applyNumberFormat="1" applyFont="1" applyFill="1" applyBorder="1" applyAlignment="1">
      <alignment horizontal="justify" vertical="center" wrapText="1"/>
    </xf>
    <xf numFmtId="4" fontId="17" fillId="2" borderId="18" xfId="448" applyNumberFormat="1" applyFont="1" applyFill="1" applyBorder="1" applyAlignment="1">
      <alignment horizontal="center" vertical="center"/>
    </xf>
    <xf numFmtId="4" fontId="17" fillId="2" borderId="0" xfId="448" applyNumberFormat="1" applyFont="1" applyFill="1" applyBorder="1" applyAlignment="1">
      <alignment horizontal="center" vertical="center"/>
    </xf>
    <xf numFmtId="4" fontId="17" fillId="2" borderId="18" xfId="448" applyNumberFormat="1" applyFont="1" applyFill="1" applyBorder="1" applyAlignment="1">
      <alignment horizontal="center"/>
    </xf>
    <xf numFmtId="4" fontId="17" fillId="2" borderId="0" xfId="448" applyNumberFormat="1" applyFont="1" applyFill="1" applyBorder="1" applyAlignment="1">
      <alignment horizontal="center"/>
    </xf>
    <xf numFmtId="0" fontId="10" fillId="2" borderId="0" xfId="0" applyFont="1" applyFill="1" applyBorder="1" applyAlignment="1">
      <alignment horizontal="center" vertical="center"/>
    </xf>
    <xf numFmtId="0" fontId="0" fillId="2" borderId="0" xfId="0" applyFill="1" applyAlignment="1">
      <alignment horizontal="center" vertical="center"/>
    </xf>
    <xf numFmtId="175" fontId="17" fillId="2" borderId="0" xfId="448" applyNumberFormat="1" applyFont="1" applyFill="1" applyBorder="1" applyAlignment="1">
      <alignment horizontal="center" vertical="center"/>
    </xf>
    <xf numFmtId="0" fontId="32" fillId="2" borderId="1" xfId="0" applyFont="1" applyFill="1" applyBorder="1" applyAlignment="1">
      <alignment vertical="center"/>
    </xf>
    <xf numFmtId="0" fontId="29" fillId="2" borderId="1" xfId="0" applyFont="1" applyFill="1" applyBorder="1" applyAlignment="1">
      <alignment vertical="center"/>
    </xf>
    <xf numFmtId="173" fontId="9" fillId="2" borderId="0" xfId="449" applyFont="1" applyFill="1" applyBorder="1" applyAlignment="1" applyProtection="1">
      <alignment horizontal="center" vertical="center" wrapText="1"/>
    </xf>
    <xf numFmtId="0" fontId="8" fillId="2" borderId="0" xfId="0" applyNumberFormat="1" applyFont="1" applyFill="1" applyBorder="1" applyAlignment="1">
      <alignment horizontal="left" vertical="center" wrapText="1"/>
    </xf>
    <xf numFmtId="4" fontId="12" fillId="10" borderId="18" xfId="450" applyNumberFormat="1" applyFont="1" applyFill="1" applyBorder="1" applyAlignment="1">
      <alignment horizontal="center"/>
    </xf>
    <xf numFmtId="4" fontId="12" fillId="10" borderId="0" xfId="450" applyNumberFormat="1" applyFont="1" applyFill="1" applyBorder="1" applyAlignment="1">
      <alignment horizontal="center"/>
    </xf>
    <xf numFmtId="173" fontId="27" fillId="2" borderId="0" xfId="455" applyFont="1" applyFill="1" applyBorder="1" applyAlignment="1">
      <alignment horizontal="center"/>
    </xf>
    <xf numFmtId="0" fontId="30" fillId="0" borderId="1" xfId="0" applyFont="1" applyFill="1" applyBorder="1" applyAlignment="1">
      <alignment vertical="center"/>
    </xf>
    <xf numFmtId="0" fontId="31" fillId="0" borderId="1" xfId="0" applyFont="1" applyFill="1" applyBorder="1" applyAlignment="1">
      <alignment vertical="center"/>
    </xf>
    <xf numFmtId="0" fontId="31" fillId="0" borderId="1" xfId="0" applyFont="1" applyFill="1" applyBorder="1" applyAlignment="1" applyProtection="1">
      <alignment vertical="center"/>
      <protection locked="0"/>
    </xf>
    <xf numFmtId="0" fontId="11" fillId="0" borderId="0" xfId="0" applyFont="1" applyAlignment="1">
      <alignment horizontal="center"/>
    </xf>
    <xf numFmtId="0" fontId="11" fillId="0" borderId="0" xfId="0" applyFont="1" applyBorder="1" applyAlignment="1">
      <alignment horizontal="center"/>
    </xf>
    <xf numFmtId="0" fontId="10" fillId="16" borderId="18" xfId="0" applyFont="1" applyFill="1" applyBorder="1" applyAlignment="1">
      <alignment horizontal="center" wrapText="1"/>
    </xf>
    <xf numFmtId="0" fontId="10" fillId="16" borderId="0" xfId="0" applyFont="1" applyFill="1" applyAlignment="1">
      <alignment horizontal="center" wrapText="1"/>
    </xf>
    <xf numFmtId="0" fontId="11" fillId="16" borderId="0" xfId="0" applyFont="1" applyFill="1" applyAlignment="1">
      <alignment horizontal="center" wrapText="1"/>
    </xf>
    <xf numFmtId="4" fontId="8" fillId="0" borderId="1" xfId="213" applyNumberFormat="1" applyFont="1" applyFill="1" applyBorder="1" applyAlignment="1">
      <alignment horizontal="center" vertical="center" wrapText="1"/>
    </xf>
    <xf numFmtId="49" fontId="8" fillId="0" borderId="1" xfId="235" applyNumberFormat="1" applyFont="1" applyFill="1" applyBorder="1" applyAlignment="1">
      <alignment horizontal="center" vertical="center"/>
    </xf>
    <xf numFmtId="43" fontId="8" fillId="0" borderId="2" xfId="0" applyNumberFormat="1" applyFont="1" applyFill="1" applyBorder="1" applyAlignment="1">
      <alignment horizontal="center" vertical="center"/>
    </xf>
    <xf numFmtId="43" fontId="8" fillId="0" borderId="22" xfId="0" applyNumberFormat="1" applyFont="1" applyFill="1" applyBorder="1" applyAlignment="1">
      <alignment horizontal="center" vertical="center"/>
    </xf>
    <xf numFmtId="43" fontId="8" fillId="0" borderId="5" xfId="0" applyNumberFormat="1" applyFont="1" applyFill="1" applyBorder="1" applyAlignment="1">
      <alignment horizontal="center" vertical="center"/>
    </xf>
    <xf numFmtId="43" fontId="11" fillId="0" borderId="2" xfId="0" applyNumberFormat="1" applyFont="1" applyFill="1" applyBorder="1" applyAlignment="1">
      <alignment horizontal="center" vertical="center"/>
    </xf>
    <xf numFmtId="43" fontId="11" fillId="0" borderId="22" xfId="0" applyNumberFormat="1" applyFont="1" applyFill="1" applyBorder="1" applyAlignment="1">
      <alignment horizontal="center" vertical="center"/>
    </xf>
    <xf numFmtId="43" fontId="11" fillId="0" borderId="5" xfId="0" applyNumberFormat="1" applyFont="1" applyFill="1" applyBorder="1" applyAlignment="1">
      <alignment horizontal="center" vertical="center"/>
    </xf>
    <xf numFmtId="174" fontId="10" fillId="17" borderId="25" xfId="453" applyFont="1" applyFill="1" applyBorder="1" applyAlignment="1" applyProtection="1">
      <alignment horizontal="center"/>
    </xf>
    <xf numFmtId="174" fontId="10" fillId="17" borderId="38" xfId="453" applyFont="1" applyFill="1" applyBorder="1" applyAlignment="1" applyProtection="1">
      <alignment horizontal="center"/>
    </xf>
    <xf numFmtId="2" fontId="48" fillId="17" borderId="26" xfId="466" applyNumberFormat="1" applyFont="1" applyFill="1" applyBorder="1" applyAlignment="1" applyProtection="1">
      <alignment horizontal="center"/>
    </xf>
    <xf numFmtId="2" fontId="48" fillId="17" borderId="25" xfId="466" applyNumberFormat="1" applyFont="1" applyFill="1" applyBorder="1" applyAlignment="1" applyProtection="1">
      <alignment horizontal="center" vertical="center"/>
    </xf>
    <xf numFmtId="0" fontId="42" fillId="2" borderId="0" xfId="212" applyFont="1" applyFill="1" applyBorder="1" applyAlignment="1">
      <alignment horizontal="center" vertical="top"/>
    </xf>
    <xf numFmtId="173" fontId="29" fillId="4" borderId="0" xfId="465" applyFont="1" applyFill="1" applyBorder="1" applyAlignment="1" applyProtection="1">
      <alignment horizontal="center"/>
    </xf>
    <xf numFmtId="2" fontId="48" fillId="17" borderId="25" xfId="466" applyNumberFormat="1" applyFont="1" applyFill="1" applyBorder="1" applyAlignment="1" applyProtection="1">
      <alignment horizontal="center" vertical="center" wrapText="1"/>
    </xf>
  </cellXfs>
  <cellStyles count="467">
    <cellStyle name="Euro" xfId="4"/>
    <cellStyle name="Moeda" xfId="450" builtinId="4"/>
    <cellStyle name="Moeda 2" xfId="2"/>
    <cellStyle name="Moeda 2 2" xfId="5"/>
    <cellStyle name="Moeda 2 2 2" xfId="458"/>
    <cellStyle name="Moeda 2 3" xfId="453"/>
    <cellStyle name="Moeda 3" xfId="6"/>
    <cellStyle name="Moeda 3 2" xfId="7"/>
    <cellStyle name="Moeda 4" xfId="8"/>
    <cellStyle name="Moeda 5" xfId="9"/>
    <cellStyle name="Moeda 5 2" xfId="10"/>
    <cellStyle name="Moeda 5 3" xfId="11"/>
    <cellStyle name="Moeda 5 4" xfId="12"/>
    <cellStyle name="Moeda 6" xfId="463"/>
    <cellStyle name="Normal" xfId="0" builtinId="0"/>
    <cellStyle name="Normal 10" xfId="13"/>
    <cellStyle name="Normal 10 2" xfId="14"/>
    <cellStyle name="Normal 10 2 2" xfId="15"/>
    <cellStyle name="Normal 10 2 2 2" xfId="16"/>
    <cellStyle name="Normal 10 2 3" xfId="17"/>
    <cellStyle name="Normal 10 2 3 2" xfId="18"/>
    <cellStyle name="Normal 10 2 4" xfId="19"/>
    <cellStyle name="Normal 10 2 4 2" xfId="20"/>
    <cellStyle name="Normal 10 2 5" xfId="21"/>
    <cellStyle name="Normal 10 2 5 2" xfId="22"/>
    <cellStyle name="Normal 10 2 6" xfId="23"/>
    <cellStyle name="Normal 10 2 6 2" xfId="24"/>
    <cellStyle name="Normal 10 2 7" xfId="25"/>
    <cellStyle name="Normal 10 3" xfId="26"/>
    <cellStyle name="Normal 10 3 2" xfId="27"/>
    <cellStyle name="Normal 10 4" xfId="28"/>
    <cellStyle name="Normal 10 4 2" xfId="29"/>
    <cellStyle name="Normal 10 5" xfId="30"/>
    <cellStyle name="Normal 10 5 2" xfId="31"/>
    <cellStyle name="Normal 10 6" xfId="32"/>
    <cellStyle name="Normal 10 6 2" xfId="33"/>
    <cellStyle name="Normal 10 7" xfId="34"/>
    <cellStyle name="Normal 10 7 2" xfId="35"/>
    <cellStyle name="Normal 10 8" xfId="36"/>
    <cellStyle name="Normal 11" xfId="37"/>
    <cellStyle name="Normal 11 10" xfId="38"/>
    <cellStyle name="Normal 11 10 2" xfId="39"/>
    <cellStyle name="Normal 11 11" xfId="40"/>
    <cellStyle name="Normal 11 11 2" xfId="41"/>
    <cellStyle name="Normal 11 12" xfId="42"/>
    <cellStyle name="Normal 11 12 2" xfId="43"/>
    <cellStyle name="Normal 11 12 2 2" xfId="44"/>
    <cellStyle name="Normal 11 12 3" xfId="45"/>
    <cellStyle name="Normal 11 12 3 2" xfId="46"/>
    <cellStyle name="Normal 11 12 3 2 2" xfId="47"/>
    <cellStyle name="Normal 11 12 3 3" xfId="48"/>
    <cellStyle name="Normal 11 12 4" xfId="49"/>
    <cellStyle name="Normal 11 12 4 2" xfId="50"/>
    <cellStyle name="Normal 11 12 4 2 2" xfId="51"/>
    <cellStyle name="Normal 11 12 4 3" xfId="52"/>
    <cellStyle name="Normal 11 12 4 3 2" xfId="53"/>
    <cellStyle name="Normal 11 12 4 4" xfId="54"/>
    <cellStyle name="Normal 11 12 5" xfId="55"/>
    <cellStyle name="Normal 11 12 5 2" xfId="56"/>
    <cellStyle name="Normal 11 12 6" xfId="57"/>
    <cellStyle name="Normal 11 13" xfId="58"/>
    <cellStyle name="Normal 11 13 2" xfId="59"/>
    <cellStyle name="Normal 11 13 2 2" xfId="60"/>
    <cellStyle name="Normal 11 13 2 2 2" xfId="61"/>
    <cellStyle name="Normal 11 13 2 2 2 2" xfId="62"/>
    <cellStyle name="Normal 11 13 2 2 3" xfId="63"/>
    <cellStyle name="Normal 11 13 2 3" xfId="64"/>
    <cellStyle name="Normal 11 13 3" xfId="65"/>
    <cellStyle name="Normal 11 13 3 2" xfId="66"/>
    <cellStyle name="Normal 11 13 3 2 2" xfId="67"/>
    <cellStyle name="Normal 11 13 3 3" xfId="68"/>
    <cellStyle name="Normal 11 13 3 3 2" xfId="69"/>
    <cellStyle name="Normal 11 13 3 4" xfId="70"/>
    <cellStyle name="Normal 11 13 3 4 2" xfId="71"/>
    <cellStyle name="Normal 11 13 3 4 2 2" xfId="72"/>
    <cellStyle name="Normal 11 13 3 4 3" xfId="73"/>
    <cellStyle name="Normal 11 13 3 4 3 2" xfId="74"/>
    <cellStyle name="Normal 11 13 3 4 4" xfId="75"/>
    <cellStyle name="Normal 11 13 3 5" xfId="76"/>
    <cellStyle name="Normal 11 13 3 5 2" xfId="77"/>
    <cellStyle name="Normal 11 13 3 6" xfId="78"/>
    <cellStyle name="Normal 11 13 4" xfId="79"/>
    <cellStyle name="Normal 11 14" xfId="80"/>
    <cellStyle name="Normal 11 14 2" xfId="81"/>
    <cellStyle name="Normal 11 15" xfId="82"/>
    <cellStyle name="Normal 11 15 2" xfId="83"/>
    <cellStyle name="Normal 11 16" xfId="84"/>
    <cellStyle name="Normal 11 2" xfId="85"/>
    <cellStyle name="Normal 11 2 2" xfId="86"/>
    <cellStyle name="Normal 11 2 2 2" xfId="87"/>
    <cellStyle name="Normal 11 2 3" xfId="88"/>
    <cellStyle name="Normal 11 2 3 2" xfId="89"/>
    <cellStyle name="Normal 11 2 4" xfId="90"/>
    <cellStyle name="Normal 11 2 4 2" xfId="91"/>
    <cellStyle name="Normal 11 2 5" xfId="92"/>
    <cellStyle name="Normal 11 2 5 2" xfId="93"/>
    <cellStyle name="Normal 11 2 6" xfId="94"/>
    <cellStyle name="Normal 11 2 6 2" xfId="95"/>
    <cellStyle name="Normal 11 2 7" xfId="96"/>
    <cellStyle name="Normal 11 3" xfId="97"/>
    <cellStyle name="Normal 11 3 2" xfId="98"/>
    <cellStyle name="Normal 11 3 2 2" xfId="99"/>
    <cellStyle name="Normal 11 3 3" xfId="100"/>
    <cellStyle name="Normal 11 3 3 2" xfId="101"/>
    <cellStyle name="Normal 11 3 4" xfId="102"/>
    <cellStyle name="Normal 11 3 4 2" xfId="103"/>
    <cellStyle name="Normal 11 3 5" xfId="104"/>
    <cellStyle name="Normal 11 3 5 2" xfId="105"/>
    <cellStyle name="Normal 11 3 6" xfId="106"/>
    <cellStyle name="Normal 11 3 6 2" xfId="107"/>
    <cellStyle name="Normal 11 3 7" xfId="108"/>
    <cellStyle name="Normal 11 4" xfId="109"/>
    <cellStyle name="Normal 11 4 2" xfId="110"/>
    <cellStyle name="Normal 11 4 2 2" xfId="111"/>
    <cellStyle name="Normal 11 4 3" xfId="112"/>
    <cellStyle name="Normal 11 4 3 2" xfId="113"/>
    <cellStyle name="Normal 11 4 4" xfId="114"/>
    <cellStyle name="Normal 11 4 4 2" xfId="115"/>
    <cellStyle name="Normal 11 4 5" xfId="116"/>
    <cellStyle name="Normal 11 4 5 2" xfId="117"/>
    <cellStyle name="Normal 11 4 6" xfId="118"/>
    <cellStyle name="Normal 11 4 6 2" xfId="119"/>
    <cellStyle name="Normal 11 4 7" xfId="120"/>
    <cellStyle name="Normal 11 4 7 2" xfId="121"/>
    <cellStyle name="Normal 11 4 8" xfId="122"/>
    <cellStyle name="Normal 11 4 8 2" xfId="123"/>
    <cellStyle name="Normal 11 4 8 2 2" xfId="124"/>
    <cellStyle name="Normal 11 4 8 2 2 2" xfId="125"/>
    <cellStyle name="Normal 11 4 8 2 2 2 2" xfId="126"/>
    <cellStyle name="Normal 11 4 8 2 2 3" xfId="127"/>
    <cellStyle name="Normal 11 4 8 2 3" xfId="128"/>
    <cellStyle name="Normal 11 4 8 2 3 2" xfId="129"/>
    <cellStyle name="Normal 11 4 8 2 4" xfId="130"/>
    <cellStyle name="Normal 11 4 8 2 4 2" xfId="131"/>
    <cellStyle name="Normal 11 4 8 2 4 3" xfId="132"/>
    <cellStyle name="Normal 11 4 8 2 4 4" xfId="133"/>
    <cellStyle name="Normal 11 4 8 2 5" xfId="134"/>
    <cellStyle name="Normal 11 4 8 2 5 2" xfId="135"/>
    <cellStyle name="Normal 11 4 8 2 5 3" xfId="136"/>
    <cellStyle name="Normal 11 4 8 2 5 4" xfId="137"/>
    <cellStyle name="Normal 11 4 8 2 6" xfId="138"/>
    <cellStyle name="Normal 11 4 8 3" xfId="139"/>
    <cellStyle name="Normal 11 4 8 3 2" xfId="140"/>
    <cellStyle name="Normal 11 4 8 3 3" xfId="141"/>
    <cellStyle name="Normal 11 4 8 3 4" xfId="142"/>
    <cellStyle name="Normal 11 4 8 4" xfId="143"/>
    <cellStyle name="Normal 11 4 9" xfId="144"/>
    <cellStyle name="Normal 11 5" xfId="145"/>
    <cellStyle name="Normal 11 5 2" xfId="146"/>
    <cellStyle name="Normal 11 5 2 2" xfId="147"/>
    <cellStyle name="Normal 11 5 3" xfId="148"/>
    <cellStyle name="Normal 11 5 3 2" xfId="149"/>
    <cellStyle name="Normal 11 5 3 2 2" xfId="150"/>
    <cellStyle name="Normal 11 5 3 2 2 2" xfId="151"/>
    <cellStyle name="Normal 11 5 3 2 3" xfId="152"/>
    <cellStyle name="Normal 11 5 3 3" xfId="153"/>
    <cellStyle name="Normal 11 5 3 3 2" xfId="154"/>
    <cellStyle name="Normal 11 5 3 4" xfId="155"/>
    <cellStyle name="Normal 11 5 3 4 2" xfId="156"/>
    <cellStyle name="Normal 11 5 3 4 2 2" xfId="157"/>
    <cellStyle name="Normal 11 5 3 4 2 3" xfId="158"/>
    <cellStyle name="Normal 11 5 3 4 3" xfId="159"/>
    <cellStyle name="Normal 11 5 3 4 4" xfId="160"/>
    <cellStyle name="Normal 11 5 3 5" xfId="161"/>
    <cellStyle name="Normal 11 5 4" xfId="162"/>
    <cellStyle name="Normal 11 5 4 2" xfId="163"/>
    <cellStyle name="Normal 11 5 4 2 2" xfId="164"/>
    <cellStyle name="Normal 11 5 4 3" xfId="165"/>
    <cellStyle name="Normal 11 5 4 3 2" xfId="166"/>
    <cellStyle name="Normal 11 5 4 3 2 2" xfId="167"/>
    <cellStyle name="Normal 11 5 4 3 3" xfId="168"/>
    <cellStyle name="Normal 11 5 4 3 3 2" xfId="169"/>
    <cellStyle name="Normal 11 5 4 3 4" xfId="170"/>
    <cellStyle name="Normal 11 5 4 4" xfId="171"/>
    <cellStyle name="Normal 11 5 5" xfId="172"/>
    <cellStyle name="Normal 11 5 5 2" xfId="173"/>
    <cellStyle name="Normal 11 5 6" xfId="174"/>
    <cellStyle name="Normal 11 5 6 2" xfId="175"/>
    <cellStyle name="Normal 11 5 7" xfId="176"/>
    <cellStyle name="Normal 11 6" xfId="177"/>
    <cellStyle name="Normal 11 6 2" xfId="178"/>
    <cellStyle name="Normal 11 6 2 2" xfId="179"/>
    <cellStyle name="Normal 11 6 3" xfId="180"/>
    <cellStyle name="Normal 11 7" xfId="181"/>
    <cellStyle name="Normal 11 7 2" xfId="182"/>
    <cellStyle name="Normal 11 8" xfId="183"/>
    <cellStyle name="Normal 11 8 2" xfId="184"/>
    <cellStyle name="Normal 11 9" xfId="185"/>
    <cellStyle name="Normal 11 9 2" xfId="186"/>
    <cellStyle name="Normal 12" xfId="187"/>
    <cellStyle name="Normal 13" xfId="188"/>
    <cellStyle name="Normal 13 2" xfId="189"/>
    <cellStyle name="Normal 13 2 2" xfId="190"/>
    <cellStyle name="Normal 13 3" xfId="191"/>
    <cellStyle name="Normal 13 3 2" xfId="192"/>
    <cellStyle name="Normal 13 4" xfId="193"/>
    <cellStyle name="Normal 13 4 2" xfId="194"/>
    <cellStyle name="Normal 13 5" xfId="195"/>
    <cellStyle name="Normal 13 5 2" xfId="196"/>
    <cellStyle name="Normal 13 6" xfId="197"/>
    <cellStyle name="Normal 13 6 2" xfId="198"/>
    <cellStyle name="Normal 13 7" xfId="199"/>
    <cellStyle name="Normal 14" xfId="200"/>
    <cellStyle name="Normal 14 2" xfId="201"/>
    <cellStyle name="Normal 14 2 2" xfId="202"/>
    <cellStyle name="Normal 14 3" xfId="203"/>
    <cellStyle name="Normal 14 3 2" xfId="204"/>
    <cellStyle name="Normal 14 4" xfId="205"/>
    <cellStyle name="Normal 14 4 2" xfId="206"/>
    <cellStyle name="Normal 14 5" xfId="207"/>
    <cellStyle name="Normal 14 5 2" xfId="208"/>
    <cellStyle name="Normal 14 6" xfId="209"/>
    <cellStyle name="Normal 14 6 2" xfId="210"/>
    <cellStyle name="Normal 14 7" xfId="211"/>
    <cellStyle name="Normal 15" xfId="212"/>
    <cellStyle name="Normal 15 2" xfId="213"/>
    <cellStyle name="Normal 15 3" xfId="214"/>
    <cellStyle name="Normal 15 4" xfId="215"/>
    <cellStyle name="Normal 15 5" xfId="216"/>
    <cellStyle name="Normal 15 6" xfId="217"/>
    <cellStyle name="Normal 15 7" xfId="218"/>
    <cellStyle name="Normal 16" xfId="219"/>
    <cellStyle name="Normal 16 2" xfId="220"/>
    <cellStyle name="Normal 17" xfId="221"/>
    <cellStyle name="Normal 17 2" xfId="222"/>
    <cellStyle name="Normal 17 2 2" xfId="223"/>
    <cellStyle name="Normal 17 3" xfId="224"/>
    <cellStyle name="Normal 18" xfId="225"/>
    <cellStyle name="Normal 18 2" xfId="226"/>
    <cellStyle name="Normal 18 2 2" xfId="227"/>
    <cellStyle name="Normal 18 3" xfId="228"/>
    <cellStyle name="Normal 18 3 2" xfId="229"/>
    <cellStyle name="Normal 18 4" xfId="230"/>
    <cellStyle name="Normal 19" xfId="231"/>
    <cellStyle name="Normal 19 2" xfId="232"/>
    <cellStyle name="Normal 2" xfId="1"/>
    <cellStyle name="Normal 2 10" xfId="233"/>
    <cellStyle name="Normal 2 2" xfId="234"/>
    <cellStyle name="Normal 2 2 2" xfId="235"/>
    <cellStyle name="Normal 2 2 2 2" xfId="236"/>
    <cellStyle name="Normal 2 2 2 3" xfId="237"/>
    <cellStyle name="Normal 2 2 2 4" xfId="238"/>
    <cellStyle name="Normal 2 2 2 5" xfId="239"/>
    <cellStyle name="Normal 2 2 2 6" xfId="240"/>
    <cellStyle name="Normal 2 2 3" xfId="241"/>
    <cellStyle name="Normal 2 2 4" xfId="242"/>
    <cellStyle name="Normal 2 2 5" xfId="243"/>
    <cellStyle name="Normal 2 2 6" xfId="244"/>
    <cellStyle name="Normal 2 3" xfId="245"/>
    <cellStyle name="Normal 2 4" xfId="246"/>
    <cellStyle name="Normal 20" xfId="247"/>
    <cellStyle name="Normal 20 2" xfId="248"/>
    <cellStyle name="Normal 20 2 2" xfId="249"/>
    <cellStyle name="Normal 20 3" xfId="250"/>
    <cellStyle name="Normal 21" xfId="251"/>
    <cellStyle name="Normal 21 2" xfId="252"/>
    <cellStyle name="Normal 21 3" xfId="253"/>
    <cellStyle name="Normal 21 4" xfId="254"/>
    <cellStyle name="Normal 22" xfId="255"/>
    <cellStyle name="Normal 22 2" xfId="256"/>
    <cellStyle name="Normal 3" xfId="257"/>
    <cellStyle name="Normal 3 2" xfId="258"/>
    <cellStyle name="Normal 3 3" xfId="259"/>
    <cellStyle name="Normal 3 4" xfId="456"/>
    <cellStyle name="Normal 4" xfId="260"/>
    <cellStyle name="Normal 4 2" xfId="461"/>
    <cellStyle name="Normal 5" xfId="261"/>
    <cellStyle name="Normal 5 2" xfId="262"/>
    <cellStyle name="Normal 5 2 2" xfId="263"/>
    <cellStyle name="Normal 5 3" xfId="264"/>
    <cellStyle name="Normal 5 3 2" xfId="265"/>
    <cellStyle name="Normal 5 4" xfId="266"/>
    <cellStyle name="Normal 5 4 2" xfId="267"/>
    <cellStyle name="Normal 5 5" xfId="268"/>
    <cellStyle name="Normal 5 5 2" xfId="269"/>
    <cellStyle name="Normal 5 6" xfId="270"/>
    <cellStyle name="Normal 5 6 2" xfId="271"/>
    <cellStyle name="Normal 5 7" xfId="272"/>
    <cellStyle name="Normal 6" xfId="273"/>
    <cellStyle name="Normal 6 2" xfId="274"/>
    <cellStyle name="Normal 6 2 2" xfId="275"/>
    <cellStyle name="Normal 6 2 2 2" xfId="276"/>
    <cellStyle name="Normal 6 2 3" xfId="277"/>
    <cellStyle name="Normal 6 2 3 2" xfId="278"/>
    <cellStyle name="Normal 6 2 4" xfId="279"/>
    <cellStyle name="Normal 6 2 4 2" xfId="280"/>
    <cellStyle name="Normal 6 2 5" xfId="281"/>
    <cellStyle name="Normal 6 2 5 2" xfId="282"/>
    <cellStyle name="Normal 6 2 6" xfId="283"/>
    <cellStyle name="Normal 6 2 6 2" xfId="284"/>
    <cellStyle name="Normal 6 2 7" xfId="285"/>
    <cellStyle name="Normal 6 3" xfId="286"/>
    <cellStyle name="Normal 6 3 10" xfId="287"/>
    <cellStyle name="Normal 6 3 10 2" xfId="288"/>
    <cellStyle name="Normal 6 3 11" xfId="289"/>
    <cellStyle name="Normal 6 3 2" xfId="290"/>
    <cellStyle name="Normal 6 3 2 2" xfId="291"/>
    <cellStyle name="Normal 6 3 2 2 2" xfId="292"/>
    <cellStyle name="Normal 6 3 2 3" xfId="293"/>
    <cellStyle name="Normal 6 3 2 3 2" xfId="294"/>
    <cellStyle name="Normal 6 3 2 4" xfId="295"/>
    <cellStyle name="Normal 6 3 2 4 2" xfId="296"/>
    <cellStyle name="Normal 6 3 2 5" xfId="297"/>
    <cellStyle name="Normal 6 3 2 5 2" xfId="298"/>
    <cellStyle name="Normal 6 3 2 6" xfId="299"/>
    <cellStyle name="Normal 6 3 2 6 2" xfId="300"/>
    <cellStyle name="Normal 6 3 2 7" xfId="301"/>
    <cellStyle name="Normal 6 3 3" xfId="302"/>
    <cellStyle name="Normal 6 3 3 2" xfId="303"/>
    <cellStyle name="Normal 6 3 4" xfId="304"/>
    <cellStyle name="Normal 6 3 4 2" xfId="305"/>
    <cellStyle name="Normal 6 3 5" xfId="306"/>
    <cellStyle name="Normal 6 3 5 2" xfId="307"/>
    <cellStyle name="Normal 6 3 6" xfId="308"/>
    <cellStyle name="Normal 6 3 6 2" xfId="309"/>
    <cellStyle name="Normal 6 3 7" xfId="310"/>
    <cellStyle name="Normal 6 3 7 2" xfId="311"/>
    <cellStyle name="Normal 6 3 8" xfId="312"/>
    <cellStyle name="Normal 6 3 8 2" xfId="313"/>
    <cellStyle name="Normal 6 3 9" xfId="314"/>
    <cellStyle name="Normal 6 3 9 2" xfId="315"/>
    <cellStyle name="Normal 7" xfId="316"/>
    <cellStyle name="Normal 7 2" xfId="317"/>
    <cellStyle name="Normal 7 2 2" xfId="318"/>
    <cellStyle name="Normal 7 3" xfId="319"/>
    <cellStyle name="Normal 7 3 2" xfId="320"/>
    <cellStyle name="Normal 7 4" xfId="321"/>
    <cellStyle name="Normal 7 4 2" xfId="322"/>
    <cellStyle name="Normal 7 5" xfId="323"/>
    <cellStyle name="Normal 7 5 2" xfId="324"/>
    <cellStyle name="Normal 7 6" xfId="325"/>
    <cellStyle name="Normal 7 6 2" xfId="326"/>
    <cellStyle name="Normal 7 7" xfId="327"/>
    <cellStyle name="Normal 8" xfId="328"/>
    <cellStyle name="Normal 8 2" xfId="329"/>
    <cellStyle name="Normal 8 2 2" xfId="330"/>
    <cellStyle name="Normal 8 3" xfId="331"/>
    <cellStyle name="Normal 8 3 2" xfId="332"/>
    <cellStyle name="Normal 8 4" xfId="333"/>
    <cellStyle name="Normal 8 4 2" xfId="334"/>
    <cellStyle name="Normal 8 5" xfId="335"/>
    <cellStyle name="Normal 8 5 2" xfId="336"/>
    <cellStyle name="Normal 8 6" xfId="337"/>
    <cellStyle name="Normal 8 6 2" xfId="338"/>
    <cellStyle name="Normal 8 7" xfId="339"/>
    <cellStyle name="Normal 9" xfId="340"/>
    <cellStyle name="Normal 9 2" xfId="341"/>
    <cellStyle name="Normal 9 2 2" xfId="342"/>
    <cellStyle name="Normal 9 2 2 2" xfId="343"/>
    <cellStyle name="Normal 9 2 3" xfId="344"/>
    <cellStyle name="Normal 9 2 3 2" xfId="345"/>
    <cellStyle name="Normal 9 2 4" xfId="346"/>
    <cellStyle name="Normal 9 2 4 2" xfId="347"/>
    <cellStyle name="Normal 9 2 5" xfId="348"/>
    <cellStyle name="Normal 9 2 5 2" xfId="349"/>
    <cellStyle name="Normal 9 2 6" xfId="350"/>
    <cellStyle name="Normal 9 2 6 2" xfId="351"/>
    <cellStyle name="Normal 9 2 7" xfId="352"/>
    <cellStyle name="Normal 9 3" xfId="353"/>
    <cellStyle name="Normal 9 3 2" xfId="354"/>
    <cellStyle name="Normal 9 4" xfId="355"/>
    <cellStyle name="Normal 9 4 2" xfId="356"/>
    <cellStyle name="Normal 9 5" xfId="357"/>
    <cellStyle name="Normal 9 5 2" xfId="358"/>
    <cellStyle name="Normal 9 6" xfId="359"/>
    <cellStyle name="Normal 9 6 2" xfId="360"/>
    <cellStyle name="Normal 9 7" xfId="361"/>
    <cellStyle name="Normal 9 7 2" xfId="362"/>
    <cellStyle name="Normal 9 8" xfId="363"/>
    <cellStyle name="Normal 9 8 2" xfId="364"/>
    <cellStyle name="Normal 9 9" xfId="365"/>
    <cellStyle name="Normal_FL.05" xfId="366"/>
    <cellStyle name="Normal_Plan1" xfId="466"/>
    <cellStyle name="Porcentagem 2" xfId="3"/>
    <cellStyle name="Porcentagem 2 2" xfId="367"/>
    <cellStyle name="Porcentagem 2 2 2" xfId="457"/>
    <cellStyle name="Porcentagem 2 3" xfId="452"/>
    <cellStyle name="Porcentagem 3" xfId="368"/>
    <cellStyle name="Porcentagem 4" xfId="369"/>
    <cellStyle name="Porcentagem 4 2" xfId="370"/>
    <cellStyle name="Porcentagem 4 2 2" xfId="371"/>
    <cellStyle name="Porcentagem 4 3" xfId="372"/>
    <cellStyle name="Porcentagem 4 3 2" xfId="373"/>
    <cellStyle name="Porcentagem 4 4" xfId="374"/>
    <cellStyle name="Porcentagem 4 4 2" xfId="375"/>
    <cellStyle name="Porcentagem 4 5" xfId="376"/>
    <cellStyle name="Porcentagem 4 5 2" xfId="377"/>
    <cellStyle name="Porcentagem 4 6" xfId="378"/>
    <cellStyle name="Porcentagem 4 6 2" xfId="379"/>
    <cellStyle name="Porcentagem 4 7" xfId="380"/>
    <cellStyle name="Porcentagem 4 8" xfId="451"/>
    <cellStyle name="Porcentagem 5" xfId="381"/>
    <cellStyle name="Porcentagem 5 2" xfId="382"/>
    <cellStyle name="Porcentagem 5 2 2" xfId="383"/>
    <cellStyle name="Porcentagem 5 3" xfId="384"/>
    <cellStyle name="Porcentagem 5 3 2" xfId="385"/>
    <cellStyle name="Porcentagem 5 4" xfId="386"/>
    <cellStyle name="Porcentagem 6" xfId="387"/>
    <cellStyle name="Porcentagem 6 2" xfId="388"/>
    <cellStyle name="Porcentagem 7" xfId="389"/>
    <cellStyle name="Porcentagem 7 2" xfId="390"/>
    <cellStyle name="Porcentagem 8" xfId="464"/>
    <cellStyle name="Separador de milhares" xfId="454" builtinId="3"/>
    <cellStyle name="Separador de milhares 10" xfId="391"/>
    <cellStyle name="Separador de milhares 11" xfId="392"/>
    <cellStyle name="Separador de milhares 12" xfId="393"/>
    <cellStyle name="Separador de milhares 13" xfId="394"/>
    <cellStyle name="Separador de milhares 14" xfId="395"/>
    <cellStyle name="Separador de milhares 15" xfId="396"/>
    <cellStyle name="Separador de milhares 16" xfId="397"/>
    <cellStyle name="Separador de milhares 17" xfId="398"/>
    <cellStyle name="Separador de milhares 18" xfId="399"/>
    <cellStyle name="Separador de milhares 19" xfId="400"/>
    <cellStyle name="Separador de milhares 2" xfId="401"/>
    <cellStyle name="Separador de milhares 2 2" xfId="402"/>
    <cellStyle name="Separador de milhares 2 2 2" xfId="460"/>
    <cellStyle name="Separador de milhares 2 3" xfId="459"/>
    <cellStyle name="Separador de milhares 20" xfId="403"/>
    <cellStyle name="Separador de milhares 21" xfId="404"/>
    <cellStyle name="Separador de milhares 22" xfId="405"/>
    <cellStyle name="Separador de milhares 23" xfId="406"/>
    <cellStyle name="Separador de milhares 24" xfId="407"/>
    <cellStyle name="Separador de milhares 25" xfId="408"/>
    <cellStyle name="Separador de milhares 26" xfId="409"/>
    <cellStyle name="Separador de milhares 27" xfId="410"/>
    <cellStyle name="Separador de milhares 28" xfId="411"/>
    <cellStyle name="Separador de milhares 29" xfId="412"/>
    <cellStyle name="Separador de milhares 3" xfId="413"/>
    <cellStyle name="Separador de milhares 30" xfId="414"/>
    <cellStyle name="Separador de milhares 31" xfId="415"/>
    <cellStyle name="Separador de milhares 32" xfId="416"/>
    <cellStyle name="Separador de milhares 33" xfId="417"/>
    <cellStyle name="Separador de milhares 34" xfId="418"/>
    <cellStyle name="Separador de milhares 35" xfId="419"/>
    <cellStyle name="Separador de milhares 36" xfId="420"/>
    <cellStyle name="Separador de milhares 37" xfId="421"/>
    <cellStyle name="Separador de milhares 38" xfId="422"/>
    <cellStyle name="Separador de milhares 39" xfId="423"/>
    <cellStyle name="Separador de milhares 4" xfId="424"/>
    <cellStyle name="Separador de milhares 4 2" xfId="425"/>
    <cellStyle name="Separador de milhares 4 2 2" xfId="426"/>
    <cellStyle name="Separador de milhares 4 2 3" xfId="427"/>
    <cellStyle name="Separador de milhares 4 2 4" xfId="428"/>
    <cellStyle name="Separador de milhares 4 2 5" xfId="429"/>
    <cellStyle name="Separador de milhares 4 2 6" xfId="430"/>
    <cellStyle name="Separador de milhares 4 2 7" xfId="431"/>
    <cellStyle name="Separador de milhares 4 2 8" xfId="432"/>
    <cellStyle name="Separador de milhares 4 2 9" xfId="433"/>
    <cellStyle name="Separador de milhares 40" xfId="434"/>
    <cellStyle name="Separador de milhares 41" xfId="435"/>
    <cellStyle name="Separador de milhares 5" xfId="436"/>
    <cellStyle name="Separador de milhares 5 2" xfId="437"/>
    <cellStyle name="Separador de milhares 5 2 2" xfId="438"/>
    <cellStyle name="Separador de milhares 5 2 3" xfId="439"/>
    <cellStyle name="Separador de milhares 5 2 4" xfId="440"/>
    <cellStyle name="Separador de milhares 5 2 5" xfId="441"/>
    <cellStyle name="Separador de milhares 6" xfId="442"/>
    <cellStyle name="Separador de milhares 7" xfId="443"/>
    <cellStyle name="Separador de milhares 8" xfId="444"/>
    <cellStyle name="Separador de milhares 9" xfId="445"/>
    <cellStyle name="Separador de milhares_Rua dos Coroados" xfId="449"/>
    <cellStyle name="Separador de milhares_Rua dos Coroados 2 2" xfId="465"/>
    <cellStyle name="Separador de milhares_Rua dos Coroados 3" xfId="455"/>
    <cellStyle name="Vírgula 2" xfId="446"/>
    <cellStyle name="Vírgula 2 2" xfId="447"/>
    <cellStyle name="Vírgula 3" xfId="448"/>
    <cellStyle name="Vírgula 3 2" xfId="462"/>
  </cellStyles>
  <dxfs count="11">
    <dxf>
      <fill>
        <patternFill>
          <bgColor rgb="FFFF0000"/>
        </patternFill>
      </fill>
    </dxf>
    <dxf>
      <fill>
        <patternFill>
          <bgColor rgb="FFFF0000"/>
        </patternFill>
      </fill>
    </dxf>
    <dxf>
      <fill>
        <patternFill>
          <bgColor rgb="FFFF0000"/>
        </patternFill>
      </fill>
    </dxf>
    <dxf>
      <font>
        <b/>
        <i val="0"/>
        <condense val="0"/>
        <extend val="0"/>
        <color auto="1"/>
      </font>
      <fill>
        <patternFill>
          <bgColor indexed="42"/>
        </patternFill>
      </fill>
      <border>
        <left style="hair">
          <color indexed="64"/>
        </left>
        <right style="thin">
          <color indexed="64"/>
        </right>
        <top style="hair">
          <color indexed="64"/>
        </top>
        <bottom style="thin">
          <color indexed="64"/>
        </bottom>
      </border>
    </dxf>
    <dxf>
      <font>
        <b/>
        <i val="0"/>
        <condense val="0"/>
        <extend val="0"/>
        <color auto="1"/>
      </font>
      <fill>
        <patternFill>
          <bgColor indexed="26"/>
        </patternFill>
      </fill>
    </dxf>
    <dxf>
      <font>
        <b val="0"/>
        <i val="0"/>
        <condense val="0"/>
        <extend val="0"/>
      </font>
    </dxf>
    <dxf>
      <font>
        <b val="0"/>
        <i val="0"/>
        <condense val="0"/>
        <extend val="0"/>
        <color auto="1"/>
      </font>
      <fill>
        <patternFill>
          <bgColor indexed="42"/>
        </patternFill>
      </fill>
      <border>
        <left style="thin">
          <color indexed="64"/>
        </left>
        <right style="hair">
          <color indexed="64"/>
        </right>
        <top style="hair">
          <color indexed="64"/>
        </top>
        <bottom style="thin">
          <color indexed="64"/>
        </bottom>
      </border>
    </dxf>
    <dxf>
      <font>
        <condense val="0"/>
        <extend val="0"/>
        <color auto="1"/>
      </font>
    </dxf>
    <dxf>
      <font>
        <b/>
        <i val="0"/>
        <condense val="0"/>
        <extend val="0"/>
        <color auto="1"/>
      </font>
      <border>
        <left style="thin">
          <color indexed="64"/>
        </left>
        <right style="thin">
          <color indexed="64"/>
        </right>
        <top style="thin">
          <color indexed="64"/>
        </top>
        <bottom style="thin">
          <color indexed="64"/>
        </bottom>
      </border>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5934075</xdr:colOff>
      <xdr:row>0</xdr:row>
      <xdr:rowOff>0</xdr:rowOff>
    </xdr:from>
    <xdr:to>
      <xdr:col>8</xdr:col>
      <xdr:colOff>450849</xdr:colOff>
      <xdr:row>6</xdr:row>
      <xdr:rowOff>202009</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7734300" y="0"/>
          <a:ext cx="2060574" cy="1287859"/>
        </a:xfrm>
        <a:prstGeom prst="rect">
          <a:avLst/>
        </a:prstGeom>
      </xdr:spPr>
    </xdr:pic>
    <xdr:clientData/>
  </xdr:twoCellAnchor>
  <xdr:twoCellAnchor>
    <xdr:from>
      <xdr:col>1</xdr:col>
      <xdr:colOff>635454</xdr:colOff>
      <xdr:row>2053</xdr:row>
      <xdr:rowOff>27215</xdr:rowOff>
    </xdr:from>
    <xdr:to>
      <xdr:col>5</xdr:col>
      <xdr:colOff>50347</xdr:colOff>
      <xdr:row>2056</xdr:row>
      <xdr:rowOff>202747</xdr:rowOff>
    </xdr:to>
    <xdr:sp macro="" textlink="">
      <xdr:nvSpPr>
        <xdr:cNvPr id="3" name="CaixaDeTexto 2"/>
        <xdr:cNvSpPr txBox="1"/>
      </xdr:nvSpPr>
      <xdr:spPr>
        <a:xfrm>
          <a:off x="1102179" y="48261815"/>
          <a:ext cx="5701393" cy="775607"/>
        </a:xfrm>
        <a:prstGeom prst="rect">
          <a:avLst/>
        </a:prstGeom>
        <a:solidFill>
          <a:schemeClr val="bg1">
            <a:lumMod val="9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pt-BR" sz="1400" b="1"/>
        </a:p>
        <a:p>
          <a:pPr algn="ctr"/>
          <a:r>
            <a:rPr lang="pt-BR" sz="1400" b="1"/>
            <a:t>BDI = </a:t>
          </a:r>
          <a:r>
            <a:rPr lang="pt-BR" sz="1400" b="1" u="sng"/>
            <a:t>(1</a:t>
          </a:r>
          <a:r>
            <a:rPr lang="pt-BR" sz="1400" b="1" u="sng" baseline="0"/>
            <a:t> + AC + S + R + G) * (1 + DF) * (1 + L)</a:t>
          </a:r>
          <a:r>
            <a:rPr lang="pt-BR" sz="1400" b="1" u="none" baseline="0"/>
            <a:t>  - 1</a:t>
          </a:r>
        </a:p>
        <a:p>
          <a:pPr algn="ctr"/>
          <a:r>
            <a:rPr lang="pt-BR" sz="1400" b="1" u="none" baseline="0"/>
            <a:t>        (1 - I1 - I2 - I3)</a:t>
          </a:r>
        </a:p>
        <a:p>
          <a:endParaRPr lang="pt-BR" sz="1100" u="none" baseline="0"/>
        </a:p>
        <a:p>
          <a:endParaRPr lang="pt-BR" sz="1100" u="none"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4093153</xdr:colOff>
      <xdr:row>0</xdr:row>
      <xdr:rowOff>188768</xdr:rowOff>
    </xdr:from>
    <xdr:to>
      <xdr:col>11</xdr:col>
      <xdr:colOff>416213</xdr:colOff>
      <xdr:row>7</xdr:row>
      <xdr:rowOff>96368</xdr:rowOff>
    </xdr:to>
    <xdr:pic>
      <xdr:nvPicPr>
        <xdr:cNvPr id="6" name="Imagem 5"/>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093653" y="903143"/>
          <a:ext cx="2057110" cy="1269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cos%20da%20Rocha%20Batista\Topografia\CORREGO%20ITAQUERA%20E%20ITAQUERUNA%20-%20QUEIROZ\TECLA-Planilha_cronograma_ALTER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ETA\268%20-%20Or&#231;amento%20Civil%20e%20hidromec&#226;nico%20-%20Rev2%20(vers&#227;o%2025).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asta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OR&#199;AMENTOS\PREFEITURA%20CORDEIR&#211;POLIS\ETA%20-%20VERBA%20FUNASA\051%20-%20O%20-%201185%20-%2020%20-%20001_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RONG Resumo"/>
      <sheetName val="PLANILHA PREÇOS E QTES"/>
      <sheetName val="Cronograma"/>
      <sheetName val="Resumo de serviços"/>
      <sheetName val="Composição de serviços Teorico"/>
      <sheetName val="PREÇO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ronograma"/>
      <sheetName val="Orçamento Resumo"/>
      <sheetName val="OS - Obras Gerais"/>
      <sheetName val="OSE - Distribuição Geral"/>
      <sheetName val="MEE - Distribuição Geral"/>
      <sheetName val="OSE - Poste de Entrada"/>
      <sheetName val="MEE - Poste de Entrada"/>
      <sheetName val="OS - Caixa do Medidor de Vazão"/>
      <sheetName val="ME - Caixa do medidor de Vazão"/>
      <sheetName val="OS - Estrutura de Chegada"/>
      <sheetName val="ME - Estrutura de Chegada"/>
      <sheetName val="OS - Plataforma "/>
      <sheetName val="ME - Plataforma"/>
      <sheetName val="OS - Módulo de Tratamento"/>
      <sheetName val="OSE - Módulo de Tratamento"/>
      <sheetName val="ME - Módulo de Tratamento"/>
      <sheetName val="MEE - Módulo de Tratamento"/>
      <sheetName val="OS - Reservatório Pulmão"/>
      <sheetName val="OSE - Res. Pulmão"/>
      <sheetName val="ME - Reservatório - Pulmão"/>
      <sheetName val="MEE - Res. Pulmão"/>
      <sheetName val="OS - EE para processo da ETA"/>
      <sheetName val="ME - EE para processo da ETA"/>
      <sheetName val="OS - Casa de Química"/>
      <sheetName val="ME - Casa de Química"/>
      <sheetName val="OSE - Casa de Química ELE"/>
      <sheetName val="MEE - Casa de Química ELE"/>
      <sheetName val="OS - Desinfecção por gás cloro"/>
      <sheetName val="OSE - Casa de Cloração ELE"/>
      <sheetName val="ME - Casa de Cloração"/>
      <sheetName val="MEE - Casa de Cloração ELE"/>
      <sheetName val="OS - EE água p ejetores"/>
      <sheetName val="ME - EE água p ejetores"/>
      <sheetName val="OS - Reservatório Elevado"/>
      <sheetName val="OSE - RESE Processos"/>
      <sheetName val="ME - Reservatório Elevado"/>
      <sheetName val="MEE - RESE Processos"/>
      <sheetName val="OS - Poço de Manobra"/>
      <sheetName val="OS - Tanque de Equalização"/>
      <sheetName val="ME - Tanque de Equalização"/>
      <sheetName val="OS - EE de Recirculação"/>
      <sheetName val="ME - EE de Recirculação"/>
      <sheetName val="OSE - EE de Recirculação"/>
      <sheetName val="MEE - EE de Recirculação"/>
      <sheetName val="OS - EE de Lodo"/>
      <sheetName val="ME - EE de Lodo"/>
      <sheetName val="OSE - EE de Lodo"/>
      <sheetName val="MEE - EE de Lodo"/>
      <sheetName val="OS - Desidratação Mec de Lodo"/>
      <sheetName val="ME - Casa Desidratação de Lodo"/>
      <sheetName val="OS - Mezanino"/>
      <sheetName val="OSE - SDL"/>
      <sheetName val="MEE - SDL"/>
      <sheetName val="OS - Interligações"/>
      <sheetName val="ME - Interligações"/>
      <sheetName val="OS - Blocos de Ancoragem"/>
      <sheetName val="OS - EE Lavagem dos Filtros"/>
      <sheetName val="ME - EE Lavagem dos Filtros"/>
      <sheetName val="OSE - EELF"/>
      <sheetName val="MEE - EELF"/>
      <sheetName val="OS - Portaria"/>
      <sheetName val="OSE - Portaria ELE"/>
      <sheetName val="ME - Portaria"/>
      <sheetName val="MEE - Portaria ELE"/>
      <sheetName val="OS - Sala do QDG"/>
      <sheetName val="OSE - Sala de Painéis"/>
      <sheetName val="MEE - Sala de Painéis"/>
      <sheetName val="OS - Rede de Esgoto"/>
      <sheetName val="ME - Rede de esgoto"/>
      <sheetName val="OS - Rede de distribuição"/>
      <sheetName val="ME - Rede de distribuição"/>
      <sheetName val="Q - Obras Gerais"/>
      <sheetName val="Q - Caixa do medidor de vazão"/>
      <sheetName val="Q - Estrutura de Entrada"/>
      <sheetName val="Q - Plataforma"/>
      <sheetName val="Q -Módulo de Tratamento"/>
      <sheetName val="Q - Reservatório"/>
      <sheetName val="Q -EE para processo da ETA"/>
      <sheetName val="Q -EE água p ejetores"/>
      <sheetName val="Q - Casa de Química"/>
      <sheetName val="Q -Desinfecção por gás cloro"/>
      <sheetName val="Q - Desinfecção gás - 2"/>
      <sheetName val="Q - Reservatório Elevado"/>
      <sheetName val="Q - Poço de Manobra"/>
      <sheetName val="Q - Tanque de Equalização"/>
      <sheetName val="Q - EE de Recirculação"/>
      <sheetName val="Q - EE de Lodo"/>
      <sheetName val="Q - Desidratação Mec de Lodo"/>
      <sheetName val="Q - Mezanino"/>
      <sheetName val="Q - EE Lavagem dos Filtros"/>
      <sheetName val="Q-interligações-Encarte"/>
      <sheetName val="Q - Interligações"/>
      <sheetName val="Q-Blocos de Ancoragem"/>
      <sheetName val="Q - Portaria"/>
      <sheetName val="Q- Sala do QDG"/>
      <sheetName val="Encarte Rede de esgoto"/>
      <sheetName val="Q - Rede de Esgoto"/>
      <sheetName val="Q - Rede de distribuição"/>
      <sheetName val="C_268-001"/>
      <sheetName val="C_268-004"/>
      <sheetName val="C_2682-005"/>
      <sheetName val="C_268-010"/>
      <sheetName val="C_268-013"/>
      <sheetName val="C_268-014"/>
      <sheetName val="C_268-015"/>
      <sheetName val="C_268_016"/>
      <sheetName val="C_268_017"/>
      <sheetName val="C_268_018"/>
      <sheetName val="C_268_019"/>
      <sheetName val="C_268_020"/>
      <sheetName val="C_268_021"/>
      <sheetName val="C_268-022"/>
      <sheetName val="C_268_023"/>
      <sheetName val="C_268-024"/>
      <sheetName val="C_268-025"/>
      <sheetName val="C_268-026"/>
      <sheetName val="C_268-027"/>
      <sheetName val="C_268-028"/>
      <sheetName val="C_268-029"/>
      <sheetName val="C_268-030"/>
      <sheetName val="C_268-031"/>
      <sheetName val="C_268-032"/>
      <sheetName val="C_268-033"/>
      <sheetName val="C_268-034"/>
      <sheetName val="C_268-035"/>
      <sheetName val="C_268-036.1"/>
      <sheetName val="C_268-036.2"/>
      <sheetName val="C_268-036.3"/>
      <sheetName val="C_268-037"/>
      <sheetName val="C_268-038"/>
      <sheetName val="C_268-039"/>
      <sheetName val="C_268-040"/>
      <sheetName val="C_268-041"/>
      <sheetName val="C_268-042"/>
      <sheetName val="C_268-043"/>
      <sheetName val="C_268-044"/>
      <sheetName val="C_268-045"/>
      <sheetName val="C_268-046"/>
      <sheetName val="C_268-047"/>
      <sheetName val="C_268-048"/>
      <sheetName val="C_268-049"/>
      <sheetName val="C_268-050"/>
      <sheetName val="C_268-051"/>
      <sheetName val="C_268-052"/>
      <sheetName val="C_268-055"/>
      <sheetName val="C_268-056"/>
      <sheetName val="C_268-057"/>
      <sheetName val="C_268-058"/>
      <sheetName val="C_268-059"/>
      <sheetName val="C_268-060"/>
      <sheetName val="C_268-061"/>
      <sheetName val="C_268-062"/>
      <sheetName val="C_268-063"/>
      <sheetName val="E-001"/>
      <sheetName val="E-002"/>
      <sheetName val="E-004"/>
      <sheetName val="E-005"/>
      <sheetName val="E-006"/>
      <sheetName val="E-007"/>
      <sheetName val="E-008"/>
      <sheetName val="E-009"/>
      <sheetName val="E-010"/>
      <sheetName val="E-011"/>
      <sheetName val="E-012"/>
      <sheetName val="E-013"/>
      <sheetName val="E-014"/>
      <sheetName val="E-015"/>
      <sheetName val="E-017"/>
      <sheetName val="E-018"/>
      <sheetName val="E-019"/>
      <sheetName val="E-020"/>
      <sheetName val="E-021"/>
      <sheetName val="E-022"/>
      <sheetName val="E-023"/>
      <sheetName val="E-024"/>
      <sheetName val="E-025"/>
      <sheetName val="E-026"/>
      <sheetName val="E-027"/>
      <sheetName val="E-028"/>
      <sheetName val="E-029"/>
      <sheetName val="E-030"/>
      <sheetName val="E-031"/>
      <sheetName val="E-032"/>
      <sheetName val="E-033"/>
      <sheetName val="E-034"/>
      <sheetName val="E-035"/>
      <sheetName val="E-036"/>
      <sheetName val="E-037"/>
      <sheetName val="E-038"/>
      <sheetName val="E-039"/>
      <sheetName val="E-040"/>
      <sheetName val="Resumo das Cotações - H "/>
      <sheetName val="Resumo das Cotações - E"/>
      <sheetName val="BDI Com"/>
      <sheetName val="Plan1"/>
      <sheetName val="ÍNdice das Composições"/>
      <sheetName val="Plan7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sheetData sheetId="95" refreshError="1"/>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ow r="17">
          <cell r="H17">
            <v>6.66</v>
          </cell>
        </row>
      </sheetData>
      <sheetData sheetId="130">
        <row r="10">
          <cell r="H10">
            <v>47.56</v>
          </cell>
        </row>
      </sheetData>
      <sheetData sheetId="131" refreshError="1"/>
      <sheetData sheetId="132">
        <row r="10">
          <cell r="H10">
            <v>59.55</v>
          </cell>
        </row>
      </sheetData>
      <sheetData sheetId="133">
        <row r="10">
          <cell r="H10">
            <v>95.24</v>
          </cell>
        </row>
      </sheetData>
      <sheetData sheetId="134">
        <row r="10">
          <cell r="H10">
            <v>94.259999999999991</v>
          </cell>
        </row>
      </sheetData>
      <sheetData sheetId="135">
        <row r="10">
          <cell r="H10">
            <v>378.23</v>
          </cell>
        </row>
      </sheetData>
      <sheetData sheetId="136">
        <row r="10">
          <cell r="H10">
            <v>493.56</v>
          </cell>
        </row>
      </sheetData>
      <sheetData sheetId="137">
        <row r="10">
          <cell r="H10">
            <v>579.5</v>
          </cell>
        </row>
      </sheetData>
      <sheetData sheetId="138">
        <row r="10">
          <cell r="H10">
            <v>1064.44</v>
          </cell>
        </row>
      </sheetData>
      <sheetData sheetId="139">
        <row r="9">
          <cell r="H9">
            <v>112.32</v>
          </cell>
        </row>
      </sheetData>
      <sheetData sheetId="140">
        <row r="17">
          <cell r="H17">
            <v>357.28000000000003</v>
          </cell>
        </row>
      </sheetData>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ow r="20">
          <cell r="H20">
            <v>90.892064239999982</v>
          </cell>
        </row>
      </sheetData>
      <sheetData sheetId="150">
        <row r="10">
          <cell r="H10">
            <v>152.15</v>
          </cell>
        </row>
      </sheetData>
      <sheetData sheetId="151" refreshError="1"/>
      <sheetData sheetId="152" refreshError="1"/>
      <sheetData sheetId="153">
        <row r="13">
          <cell r="H13">
            <v>2179.6800000000003</v>
          </cell>
        </row>
      </sheetData>
      <sheetData sheetId="154">
        <row r="17">
          <cell r="H17">
            <v>325.81</v>
          </cell>
        </row>
      </sheetData>
      <sheetData sheetId="155">
        <row r="13">
          <cell r="H13">
            <v>3632.8</v>
          </cell>
        </row>
      </sheetData>
      <sheetData sheetId="156">
        <row r="13">
          <cell r="H13">
            <v>11032</v>
          </cell>
        </row>
      </sheetData>
      <sheetData sheetId="157">
        <row r="13">
          <cell r="H13">
            <v>1816.4</v>
          </cell>
        </row>
      </sheetData>
      <sheetData sheetId="158">
        <row r="13">
          <cell r="H13">
            <v>24056</v>
          </cell>
        </row>
      </sheetData>
      <sheetData sheetId="159">
        <row r="16">
          <cell r="H16">
            <v>76015.459999999992</v>
          </cell>
        </row>
      </sheetData>
      <sheetData sheetId="160">
        <row r="12">
          <cell r="H12">
            <v>3129.6</v>
          </cell>
        </row>
      </sheetData>
      <sheetData sheetId="161">
        <row r="30">
          <cell r="H30">
            <v>108.59000000000002</v>
          </cell>
        </row>
      </sheetData>
      <sheetData sheetId="162">
        <row r="30">
          <cell r="H30">
            <v>221.35</v>
          </cell>
        </row>
      </sheetData>
      <sheetData sheetId="163">
        <row r="30">
          <cell r="H30">
            <v>361.64999999999992</v>
          </cell>
        </row>
      </sheetData>
      <sheetData sheetId="164">
        <row r="30">
          <cell r="H30">
            <v>542.24000000000012</v>
          </cell>
        </row>
      </sheetData>
      <sheetData sheetId="165">
        <row r="13">
          <cell r="H13">
            <v>5449.2</v>
          </cell>
        </row>
      </sheetData>
      <sheetData sheetId="166">
        <row r="13">
          <cell r="H13">
            <v>5516</v>
          </cell>
        </row>
      </sheetData>
      <sheetData sheetId="167">
        <row r="13">
          <cell r="H13">
            <v>1816.4</v>
          </cell>
        </row>
      </sheetData>
      <sheetData sheetId="168">
        <row r="13">
          <cell r="H13">
            <v>1089.8400000000001</v>
          </cell>
        </row>
      </sheetData>
      <sheetData sheetId="169">
        <row r="13">
          <cell r="H13">
            <v>1089.8400000000001</v>
          </cell>
        </row>
      </sheetData>
      <sheetData sheetId="170">
        <row r="13">
          <cell r="H13">
            <v>3269.52</v>
          </cell>
        </row>
      </sheetData>
      <sheetData sheetId="171">
        <row r="13">
          <cell r="H13">
            <v>1089.8400000000001</v>
          </cell>
        </row>
      </sheetData>
      <sheetData sheetId="172">
        <row r="13">
          <cell r="H13">
            <v>1089.8400000000001</v>
          </cell>
        </row>
      </sheetData>
      <sheetData sheetId="173">
        <row r="13">
          <cell r="H13">
            <v>5085.92</v>
          </cell>
        </row>
      </sheetData>
      <sheetData sheetId="174">
        <row r="13">
          <cell r="H13">
            <v>1453.12</v>
          </cell>
        </row>
      </sheetData>
      <sheetData sheetId="175">
        <row r="13">
          <cell r="H13">
            <v>2724.6</v>
          </cell>
        </row>
      </sheetData>
      <sheetData sheetId="176">
        <row r="13">
          <cell r="H13">
            <v>18042</v>
          </cell>
        </row>
      </sheetData>
      <sheetData sheetId="177">
        <row r="13">
          <cell r="H13">
            <v>1816.4</v>
          </cell>
        </row>
      </sheetData>
      <sheetData sheetId="178">
        <row r="13">
          <cell r="H13">
            <v>1089.8400000000001</v>
          </cell>
        </row>
      </sheetData>
      <sheetData sheetId="179">
        <row r="13">
          <cell r="H13">
            <v>1816.4</v>
          </cell>
        </row>
      </sheetData>
      <sheetData sheetId="180">
        <row r="13">
          <cell r="H13">
            <v>351.39</v>
          </cell>
        </row>
      </sheetData>
      <sheetData sheetId="181">
        <row r="13">
          <cell r="H13">
            <v>185.81</v>
          </cell>
        </row>
      </sheetData>
      <sheetData sheetId="182">
        <row r="13">
          <cell r="H13">
            <v>193.85</v>
          </cell>
        </row>
      </sheetData>
      <sheetData sheetId="183">
        <row r="13">
          <cell r="H13">
            <v>208.43</v>
          </cell>
        </row>
      </sheetData>
      <sheetData sheetId="184">
        <row r="13">
          <cell r="H13">
            <v>177.63</v>
          </cell>
        </row>
      </sheetData>
      <sheetData sheetId="185">
        <row r="11">
          <cell r="H11">
            <v>350</v>
          </cell>
        </row>
      </sheetData>
      <sheetData sheetId="186">
        <row r="11">
          <cell r="H11">
            <v>1460.62</v>
          </cell>
        </row>
      </sheetData>
      <sheetData sheetId="187">
        <row r="10">
          <cell r="H10">
            <v>309.27999999999997</v>
          </cell>
        </row>
      </sheetData>
      <sheetData sheetId="188">
        <row r="14">
          <cell r="H14">
            <v>1040.81</v>
          </cell>
        </row>
      </sheetData>
      <sheetData sheetId="189">
        <row r="13">
          <cell r="H13">
            <v>181.54</v>
          </cell>
        </row>
      </sheetData>
      <sheetData sheetId="190">
        <row r="13">
          <cell r="H13">
            <v>200.39</v>
          </cell>
        </row>
      </sheetData>
      <sheetData sheetId="191"/>
      <sheetData sheetId="192"/>
      <sheetData sheetId="193">
        <row r="44">
          <cell r="C44">
            <v>26.44</v>
          </cell>
          <cell r="H44">
            <v>16.8</v>
          </cell>
        </row>
      </sheetData>
      <sheetData sheetId="194" refreshError="1"/>
      <sheetData sheetId="195" refreshError="1"/>
      <sheetData sheetId="19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BRAS E SERVIÇOS ULTIMA MEDIÇAO"/>
      <sheetName val="MEMORIAS"/>
      <sheetName val="Plan Tron"/>
      <sheetName val="correçao monetaria obra"/>
    </sheetNames>
    <sheetDataSet>
      <sheetData sheetId="0"/>
      <sheetData sheetId="1" refreshError="1"/>
      <sheetData sheetId="2">
        <row r="3">
          <cell r="B3" t="str">
            <v xml:space="preserve">74209/001 </v>
          </cell>
          <cell r="C3" t="str">
            <v>SINAPI</v>
          </cell>
          <cell r="D3" t="str">
            <v xml:space="preserve">PLACA DE OBRA EM CHAPA DE ACO GALVANIZADO </v>
          </cell>
          <cell r="F3">
            <v>320.83</v>
          </cell>
        </row>
        <row r="4">
          <cell r="B4" t="str">
            <v xml:space="preserve">73992/001 </v>
          </cell>
          <cell r="C4" t="str">
            <v>SINAPI</v>
          </cell>
          <cell r="D4" t="str">
            <v>LOCACAO CONVENCIONAL DE OBRA, ATRAVÉS DE GABARITO DE TABUAS CORRIDAS PONTALETADAS A CADA 1,50M, SEM REAPROVEITAMENTO</v>
          </cell>
          <cell r="F4">
            <v>8.32</v>
          </cell>
        </row>
        <row r="5">
          <cell r="B5" t="str">
            <v xml:space="preserve">73948/016 </v>
          </cell>
          <cell r="C5" t="str">
            <v>SINAPI</v>
          </cell>
          <cell r="D5" t="str">
            <v xml:space="preserve">LIMPEZA MANUAL DO TERRENO (C/ RASPAGEM SUPERFICIAL) </v>
          </cell>
          <cell r="F5">
            <v>4.13</v>
          </cell>
        </row>
        <row r="6">
          <cell r="B6" t="str">
            <v xml:space="preserve">74151/001 </v>
          </cell>
          <cell r="C6" t="str">
            <v>SINAPI</v>
          </cell>
          <cell r="D6" t="str">
            <v>ESCAVACAO E CARGA MATERIAL 1A CATEGORIA, UTILIZANDO TRATOR DE ESTEIRAS DE 110 A 160HP COM LAMINA, PESO OPERACIONAL * 13T E PA CARREGADEIRA COM 170 HP.</v>
          </cell>
          <cell r="E6" t="str">
            <v>M³</v>
          </cell>
          <cell r="F6">
            <v>3.37</v>
          </cell>
        </row>
        <row r="7">
          <cell r="B7">
            <v>60202</v>
          </cell>
          <cell r="C7" t="str">
            <v>CPOS</v>
          </cell>
          <cell r="D7" t="str">
            <v xml:space="preserve">ESCAVAÇÃO MANUAL EM SOLO DE 1ª E 2ª CATEGORIA EM VALA OU CAVA ATÉ 1,50M </v>
          </cell>
          <cell r="E7" t="str">
            <v>M³</v>
          </cell>
          <cell r="F7">
            <v>34.020000000000003</v>
          </cell>
        </row>
        <row r="8">
          <cell r="B8">
            <v>60204</v>
          </cell>
          <cell r="C8" t="str">
            <v>CPOS</v>
          </cell>
          <cell r="D8" t="str">
            <v>ESCAVAÇÃO MANUAL EM SOLO DE 1ª E 2ª CATEGORIA EM VALA OU CAVA DE 1,5M A 3M</v>
          </cell>
          <cell r="E8" t="str">
            <v>M³</v>
          </cell>
          <cell r="F8">
            <v>44</v>
          </cell>
        </row>
        <row r="9">
          <cell r="B9">
            <v>60204</v>
          </cell>
          <cell r="C9" t="str">
            <v>CPOS</v>
          </cell>
          <cell r="D9" t="str">
            <v>ESCAVAÇÃO MANUAL EM SOLO DE 1ª E 2ª CATEGORIA EM VALA OU CAVA DE 3M A 4,50M</v>
          </cell>
          <cell r="E9" t="str">
            <v>M³</v>
          </cell>
          <cell r="F9">
            <v>44</v>
          </cell>
        </row>
        <row r="10">
          <cell r="B10">
            <v>60204</v>
          </cell>
          <cell r="C10" t="str">
            <v>CPOS</v>
          </cell>
          <cell r="D10" t="str">
            <v>ESCAVAÇÃO MANUAL EM SOLO DE 1ª E 2ª CATEGORIA EM VALA OU CAVA DE 4,50M A 6M</v>
          </cell>
          <cell r="E10" t="str">
            <v>M³</v>
          </cell>
          <cell r="F10">
            <v>44</v>
          </cell>
        </row>
        <row r="11">
          <cell r="B11">
            <v>70202</v>
          </cell>
          <cell r="C11" t="str">
            <v>CPOS</v>
          </cell>
          <cell r="D11" t="str">
            <v xml:space="preserve">ESCAVAÇÃO MECANIZADA DE VALAS OU CAVAS COM ALTURA ATÉ 2,00 M </v>
          </cell>
          <cell r="F11">
            <v>5.68</v>
          </cell>
        </row>
        <row r="12">
          <cell r="B12" t="str">
            <v xml:space="preserve">73964/006 </v>
          </cell>
          <cell r="C12" t="str">
            <v>SINAPI</v>
          </cell>
          <cell r="D12" t="str">
            <v xml:space="preserve">REATERRO DE VALA COM COMPACTAÇÃO MANUAL </v>
          </cell>
          <cell r="E12" t="str">
            <v>M³</v>
          </cell>
          <cell r="F12">
            <v>49.62</v>
          </cell>
        </row>
        <row r="13">
          <cell r="B13">
            <v>72885</v>
          </cell>
          <cell r="C13" t="str">
            <v>SINAPI</v>
          </cell>
          <cell r="D13" t="str">
            <v>TRANSPORTE COMERCIAL COM CAMINHAO BASCULANTE 6 M3, RODOVIA EM LEITO NATURAL</v>
          </cell>
          <cell r="E13" t="str">
            <v>M³ X KM</v>
          </cell>
          <cell r="F13">
            <v>1.37</v>
          </cell>
        </row>
        <row r="14">
          <cell r="B14">
            <v>72888</v>
          </cell>
          <cell r="C14" t="str">
            <v>SINAPI</v>
          </cell>
          <cell r="D14" t="str">
            <v>CARGA, MANOBRAS E DESCARGA DE AREIA, BRITA, PEDRA DE MAO E SOLOS COM CAMINHAO BASCULANTE 6 M3 (DESCARGA LIVRE)</v>
          </cell>
          <cell r="E14" t="str">
            <v>M³</v>
          </cell>
          <cell r="F14">
            <v>0.96</v>
          </cell>
        </row>
        <row r="15">
          <cell r="B15" t="str">
            <v>73891/001</v>
          </cell>
          <cell r="C15" t="str">
            <v>SINAPI</v>
          </cell>
          <cell r="D15" t="str">
            <v>ESGOTAMENTO COM MOTO-BOMBA AUTOESCORVANTE.</v>
          </cell>
          <cell r="E15" t="str">
            <v>H</v>
          </cell>
          <cell r="F15">
            <v>6.36</v>
          </cell>
        </row>
        <row r="16">
          <cell r="B16" t="str">
            <v xml:space="preserve">73882/005 </v>
          </cell>
          <cell r="C16" t="str">
            <v>SINAPI</v>
          </cell>
          <cell r="D16" t="str">
            <v xml:space="preserve">CALHA EM CONCRETO SIMPLES, EM MEIA CANA DE CONCRETO, DIAMETRO 600 MM </v>
          </cell>
          <cell r="E16" t="str">
            <v>M</v>
          </cell>
          <cell r="F16">
            <v>77.2</v>
          </cell>
        </row>
        <row r="17">
          <cell r="B17">
            <v>94273</v>
          </cell>
          <cell r="C17" t="str">
            <v>SINAPI</v>
          </cell>
          <cell r="D17" t="str">
            <v>ASSENTAMENTO DE GUIA (MEIO-FIO) EM TRECHO RETO, CONFECCIONADA EM CONCRETO PRÉ-FABRICADO, DIMENSÕES 100X15X13X30 CM (COMPRIMENTO X BASE INFERIOR X BASE SUPERIOR X ALTURA), PARA VIAS URBANAS (USO VIÁRIO). AF_06/2016</v>
          </cell>
          <cell r="E17" t="str">
            <v>M</v>
          </cell>
          <cell r="F17">
            <v>37.42</v>
          </cell>
        </row>
        <row r="18">
          <cell r="B18">
            <v>6514</v>
          </cell>
          <cell r="C18" t="str">
            <v>SINAPI</v>
          </cell>
          <cell r="D18" t="str">
            <v xml:space="preserve">FORNECIMENTO E LANCAMENTO DE BRITA N. 4 </v>
          </cell>
          <cell r="E18" t="str">
            <v>M³</v>
          </cell>
          <cell r="F18">
            <v>88.38</v>
          </cell>
        </row>
        <row r="19">
          <cell r="B19">
            <v>540203</v>
          </cell>
          <cell r="C19" t="str">
            <v>CPOS</v>
          </cell>
          <cell r="D19" t="str">
            <v xml:space="preserve">REVESTIMENTO PRIMARIO COM PEDRA BRITADA, COMPACTAÇÃO MINIMA DE 95% DO PN. </v>
          </cell>
          <cell r="E19" t="str">
            <v>M³</v>
          </cell>
          <cell r="F19">
            <v>65.45</v>
          </cell>
        </row>
        <row r="20">
          <cell r="B20">
            <v>5651</v>
          </cell>
          <cell r="C20" t="str">
            <v>SINAPI</v>
          </cell>
          <cell r="D20" t="str">
            <v>FORMA DE MADEIRA COMUM PARA FUNDAÇÕES - REAPROVEITAMENTO 5X.</v>
          </cell>
          <cell r="E20" t="str">
            <v>M²</v>
          </cell>
          <cell r="F20">
            <v>29.01</v>
          </cell>
        </row>
        <row r="21">
          <cell r="B21">
            <v>92761</v>
          </cell>
          <cell r="C21" t="str">
            <v>SINAPI</v>
          </cell>
          <cell r="D21" t="str">
            <v>ARMAÇÃO DE PILAR OU VIGA DE UMA ESTRUTURA CONVENCIONAL DE CONCRETO ARMADO EM UM EDIFÍCIO DE MÚLTIPLOS PAVIMENTOS UTILIZANDO AÇO CA-50 DE 8.0MM - MONTAGEM. AF_12/2015</v>
          </cell>
          <cell r="E21" t="str">
            <v>KG</v>
          </cell>
          <cell r="F21">
            <v>9.44</v>
          </cell>
        </row>
        <row r="22">
          <cell r="B22">
            <v>110402</v>
          </cell>
          <cell r="C22" t="str">
            <v>CPOS</v>
          </cell>
          <cell r="D22" t="str">
            <v>Concreto não estrutural executado no local, mínimo 150 kg cimento / m³</v>
          </cell>
          <cell r="E22" t="str">
            <v>M³</v>
          </cell>
          <cell r="F22">
            <v>208.91</v>
          </cell>
        </row>
        <row r="23">
          <cell r="B23">
            <v>110404</v>
          </cell>
          <cell r="C23" t="str">
            <v>CPOS</v>
          </cell>
          <cell r="D23" t="str">
            <v>Concreto não estrutural executado no local, mínimo 200 kg cimento / m³</v>
          </cell>
          <cell r="E23" t="str">
            <v>M³</v>
          </cell>
          <cell r="F23">
            <v>231.91</v>
          </cell>
        </row>
        <row r="24">
          <cell r="B24">
            <v>110406</v>
          </cell>
          <cell r="C24" t="str">
            <v>CPOS</v>
          </cell>
          <cell r="D24" t="str">
            <v xml:space="preserve">CONCRETO NÃO ESTRUTURAL EXECUTADO NO LOCAL, MINIMO 300KG CIMENTO/M³ </v>
          </cell>
          <cell r="E24" t="str">
            <v>M³</v>
          </cell>
          <cell r="F24">
            <v>279.64</v>
          </cell>
        </row>
        <row r="25">
          <cell r="B25">
            <v>110126</v>
          </cell>
          <cell r="C25" t="str">
            <v>CPOS</v>
          </cell>
          <cell r="D25" t="str">
            <v xml:space="preserve">Concreto usinado, fck = 20,0 MPa - para bombeamento </v>
          </cell>
          <cell r="E25" t="str">
            <v>M³</v>
          </cell>
          <cell r="F25">
            <v>299.37</v>
          </cell>
        </row>
        <row r="26">
          <cell r="B26">
            <v>110135</v>
          </cell>
          <cell r="C26" t="str">
            <v>CPOS</v>
          </cell>
          <cell r="D26" t="str">
            <v xml:space="preserve">Concreto usinado, fck = 40,0 MPa - para bombeamento </v>
          </cell>
          <cell r="E26" t="str">
            <v>M³</v>
          </cell>
          <cell r="F26">
            <v>351.18</v>
          </cell>
        </row>
        <row r="27">
          <cell r="B27">
            <v>110132</v>
          </cell>
          <cell r="C27" t="str">
            <v>CPOS</v>
          </cell>
          <cell r="D27" t="str">
            <v xml:space="preserve">CONCRETO USINADO, FCK=30MPa - PARA BOMBEAMENTO </v>
          </cell>
          <cell r="E27" t="str">
            <v>M³</v>
          </cell>
          <cell r="F27">
            <v>311.94</v>
          </cell>
        </row>
        <row r="28">
          <cell r="B28">
            <v>89995</v>
          </cell>
          <cell r="C28" t="str">
            <v>SINAPI</v>
          </cell>
          <cell r="D28" t="str">
            <v>GRAUTEAMENTO DE CINTA SUPERIOR OU DE VERGA EM ALVENARIA ESTRUTURAL. AF_01/2015</v>
          </cell>
          <cell r="E28" t="str">
            <v>M³</v>
          </cell>
          <cell r="F28">
            <v>553.45000000000005</v>
          </cell>
        </row>
        <row r="29">
          <cell r="B29">
            <v>121201</v>
          </cell>
          <cell r="C29" t="str">
            <v>CPOS</v>
          </cell>
          <cell r="D29" t="str">
            <v>TAXA DE MOBILIZAÇÃO PARA ESTACA TIPO HÉLICE CONTINUA EM SOLO</v>
          </cell>
          <cell r="E29" t="str">
            <v>TX</v>
          </cell>
          <cell r="F29">
            <v>25921.26</v>
          </cell>
        </row>
        <row r="30">
          <cell r="B30">
            <v>92393</v>
          </cell>
          <cell r="C30" t="str">
            <v>SINAPI</v>
          </cell>
          <cell r="D30" t="str">
            <v>EXECUÇÃO DE PAVIMENTO EM PISO INTERTRAVADO, COM BLOCO SEXTAVADO DE 25X 25 CM, ESPESSURA 6 CM. AF_12/2015</v>
          </cell>
          <cell r="E30" t="str">
            <v>M²</v>
          </cell>
          <cell r="F30">
            <v>47.68</v>
          </cell>
        </row>
        <row r="31">
          <cell r="B31">
            <v>89456</v>
          </cell>
          <cell r="C31" t="str">
            <v>SINAPI</v>
          </cell>
          <cell r="D31" t="str">
            <v>ALVENARIA DE BLOCOS DE CONCRETO ESTRUTURAL 14X19X39 CM, (ESPESSURA 14 CM) FBK = 14,0 MPA, PARA PAREDES COM ÁREA LÍQUIDA MAIOR OU IGUAL A 6M², SEM VÃOS, UTILIZANDO PALHETA. AF_12/2014</v>
          </cell>
          <cell r="E31" t="str">
            <v>M²</v>
          </cell>
          <cell r="F31">
            <v>60.61</v>
          </cell>
        </row>
        <row r="32">
          <cell r="B32" t="str">
            <v>74238/002</v>
          </cell>
          <cell r="C32" t="str">
            <v>SINAPI</v>
          </cell>
          <cell r="D32" t="str">
            <v>PORTAO EM TELA ARAME GALVANIZADO N.12 MALHA 2" E MOLDURA EM TUBOS DE ACO COM DUAS FOLHAS DE ABRIR, INCLUSO FERRAGENS</v>
          </cell>
          <cell r="E32" t="str">
            <v>M²</v>
          </cell>
          <cell r="F32">
            <v>954.12</v>
          </cell>
        </row>
        <row r="33">
          <cell r="B33" t="str">
            <v>73929/001</v>
          </cell>
          <cell r="C33" t="str">
            <v>SINAPI</v>
          </cell>
          <cell r="D33" t="str">
            <v>IMPERMEABILIZACAO DE SUPERFICIE COM CIMENTO ESPECIAL CRISTALIZANTE COM ADESIVO LIQUIDO, UMA DEMAO.</v>
          </cell>
          <cell r="E33" t="str">
            <v>M²</v>
          </cell>
          <cell r="F33">
            <v>30.96</v>
          </cell>
        </row>
        <row r="34">
          <cell r="B34">
            <v>94994</v>
          </cell>
          <cell r="C34" t="str">
            <v>SINAPI</v>
          </cell>
          <cell r="D34" t="str">
            <v>EXECUÇÃO DE PASSEIO (CALÇADA) OU PISO DE CONCRETO COM CONCRETO MOLDADO IN LOCO, FEITO EM OBRA, ACABAMENTO CONVENCIONAL, ESPESSURA 8 CM, ARMADO. AF_07/2016</v>
          </cell>
          <cell r="E34" t="str">
            <v>M²</v>
          </cell>
          <cell r="F34">
            <v>64.260000000000005</v>
          </cell>
        </row>
        <row r="35">
          <cell r="B35" t="str">
            <v>73787/001</v>
          </cell>
          <cell r="C35" t="str">
            <v>SINAPI</v>
          </cell>
          <cell r="D35" t="str">
            <v>ALAMBRADO EM TUBOS DE ACO GALVANIZADO, COM COSTURA, DIN 2440, DIAMETRO 2", ALTURA 3M, FIXADOS A CADA 2M EM BLOCOS DE CONCRETO, COM TELA DE ARAME GALVANIZADO REVESTIDO COM PVC, FIO 12 BWG E MALHA 7,5X7,5CM</v>
          </cell>
          <cell r="E35" t="str">
            <v>M²</v>
          </cell>
          <cell r="F35">
            <v>177.36</v>
          </cell>
        </row>
        <row r="36">
          <cell r="B36" t="str">
            <v>74236/001</v>
          </cell>
          <cell r="C36" t="str">
            <v>SINAPI</v>
          </cell>
          <cell r="D36" t="str">
            <v>PLANTIO DE GRAMA BATATAIS EM PLACAS</v>
          </cell>
          <cell r="E36" t="str">
            <v>M²</v>
          </cell>
          <cell r="F36">
            <v>9.69</v>
          </cell>
        </row>
        <row r="37">
          <cell r="B37">
            <v>91925</v>
          </cell>
          <cell r="C37" t="str">
            <v>SINAPI</v>
          </cell>
          <cell r="D37" t="str">
            <v>CABO DE COBRE FLEXÍVEL ISOLADO, 1,5 MM², ANTI-CHAMA 0,6/1,0 KV, PARA CIRCUITOS TERMINAIS - FORNECIMENTO E INSTALAÇÃO. AF_12/2015 -  COR AMARELO.</v>
          </cell>
          <cell r="E37" t="str">
            <v>M</v>
          </cell>
          <cell r="F37">
            <v>2.1800000000000002</v>
          </cell>
        </row>
        <row r="38">
          <cell r="B38">
            <v>91925</v>
          </cell>
          <cell r="C38" t="str">
            <v>SINAPI</v>
          </cell>
          <cell r="D38" t="str">
            <v>CABO DE COBRE FLEXÍVEL ISOLADO, 1,5 MM², ANTI-CHAMA 0,6/1,0 KV, PARA CIRCUITOS TERMINAIS - FORNECIMENTO E INSTALAÇÃO. AF_12/2015 -  COR BRANCO.</v>
          </cell>
          <cell r="E38" t="str">
            <v>M</v>
          </cell>
          <cell r="F38">
            <v>2.1800000000000002</v>
          </cell>
        </row>
        <row r="39">
          <cell r="B39">
            <v>91925</v>
          </cell>
          <cell r="C39" t="str">
            <v>SINAPI</v>
          </cell>
          <cell r="D39" t="str">
            <v>CABO DE COBRE FLEXÍVEL ISOLADO, 1,5 MM², ANTI-CHAMA 0,6/1,0 KV, PARA CIRCUITOS TERMINAIS - FORNECIMENTO E INSTALAÇÃO. AF_12/2015 -  COR AZUL</v>
          </cell>
          <cell r="E39" t="str">
            <v>M</v>
          </cell>
          <cell r="F39">
            <v>2.1800000000000002</v>
          </cell>
        </row>
        <row r="40">
          <cell r="B40">
            <v>91925</v>
          </cell>
          <cell r="C40" t="str">
            <v>SINAPI</v>
          </cell>
          <cell r="D40" t="str">
            <v>CABO DE COBRE FLEXÍVEL ISOLADO, 1,5 MM², ANTI-CHAMA 0,6/1,0 KV, PARA CIRCUITOS TERMINAIS - FORNECIMENTO E INSTALAÇÃO. AF_12/2015 -  COR VERDE</v>
          </cell>
          <cell r="E40" t="str">
            <v>M</v>
          </cell>
          <cell r="F40">
            <v>2.1800000000000002</v>
          </cell>
        </row>
        <row r="41">
          <cell r="B41">
            <v>91927</v>
          </cell>
          <cell r="C41" t="str">
            <v>SINAPI</v>
          </cell>
          <cell r="D41" t="str">
            <v>CABO DE COBRE FLEXÍVEL ISOLADO, 2,5 MM², ANTI-CHAMA 0,6/1,0 KV, PARA CIRCUITOS TERMINAIS - FORNECIMENTO E INSTALAÇÃO. AF_12/2015 - COR AZUL.</v>
          </cell>
          <cell r="E41" t="str">
            <v>M</v>
          </cell>
          <cell r="F41">
            <v>2.9</v>
          </cell>
        </row>
        <row r="42">
          <cell r="B42">
            <v>91927</v>
          </cell>
          <cell r="C42" t="str">
            <v>SINAPI</v>
          </cell>
          <cell r="D42" t="str">
            <v>CABO DE COBRE FLEXÍVEL ISOLADO, 2,5 MM², ANTI-CHAMA 0,6/1,0 KV, PARA CIRCUITOS TERMINAIS - FORNECIMENTO E INSTALAÇÃO. AF_12/2015 - COR PRETO.</v>
          </cell>
          <cell r="E42" t="str">
            <v>M</v>
          </cell>
          <cell r="F42">
            <v>2.9</v>
          </cell>
        </row>
        <row r="43">
          <cell r="B43">
            <v>91927</v>
          </cell>
          <cell r="C43" t="str">
            <v>SINAPI</v>
          </cell>
          <cell r="D43" t="str">
            <v>CABO DE COBRE FLEXÍVEL ISOLADO, 2,5 MM², ANTI-CHAMA 0,6/1,0 KV, PARA CIRCUITOS TERMINAIS - FORNECIMENTO E INSTALAÇÃO. AF_12/2015 - COR VERDE</v>
          </cell>
          <cell r="E43" t="str">
            <v>M</v>
          </cell>
          <cell r="F43">
            <v>2.9</v>
          </cell>
        </row>
        <row r="44">
          <cell r="C44" t="str">
            <v>SINAPI</v>
          </cell>
          <cell r="D44" t="str">
            <v>CABO DE COBRE FLEXÍVEL ISOLADO, 2,5 MM², ANTI-CHAMA 0,6/1,0 KV, PARA CIRCUITOS TERMINAIS - FORNECIMENTO E INSTALAÇÃO. AF_12/2015 - COR AMARELO</v>
          </cell>
        </row>
        <row r="45">
          <cell r="B45">
            <v>92980</v>
          </cell>
          <cell r="C45" t="str">
            <v>SINAPI</v>
          </cell>
          <cell r="D45" t="str">
            <v>CABO DE COBRE FLEXÍVEL ISOLADO, 10 MM², ANTI-CHAMA 0,6/1,0 KV, PARA DISTRIBUIÇÃO - FORNECIMENTO E INSTALAÇÃO. AF_12/2015</v>
          </cell>
          <cell r="E45" t="str">
            <v>M</v>
          </cell>
          <cell r="F45">
            <v>5.07</v>
          </cell>
        </row>
        <row r="46">
          <cell r="B46">
            <v>92982</v>
          </cell>
          <cell r="C46" t="str">
            <v>SINAPI</v>
          </cell>
          <cell r="D46" t="str">
            <v>CABO DE COBRE FLEXÍVEL ISOLADO, 16 MM², ANTI-CHAMA 0,6/1,0 KV, PARA DISTRIBUIÇÃO - FORNECIMENTO E INSTALAÇÃO. AF_12/2015</v>
          </cell>
          <cell r="E46" t="str">
            <v>M</v>
          </cell>
          <cell r="F46">
            <v>7.72</v>
          </cell>
        </row>
        <row r="47">
          <cell r="B47">
            <v>92986</v>
          </cell>
          <cell r="C47" t="str">
            <v>SINAPI</v>
          </cell>
          <cell r="D47" t="str">
            <v>CABO DE COBRE FLEXÍVEL ISOLADO, 35 MM², ANTI-CHAMA 0,6/1,0 KV, PARA DISTRIBUIÇÃO - FORNECIMENTO E INSTALAÇÃO. AF_12/2015 COR AZUL.</v>
          </cell>
          <cell r="E47" t="str">
            <v>M</v>
          </cell>
          <cell r="F47">
            <v>17.690000000000001</v>
          </cell>
        </row>
        <row r="48">
          <cell r="B48">
            <v>92986</v>
          </cell>
          <cell r="C48" t="str">
            <v>SINAPI</v>
          </cell>
          <cell r="D48" t="str">
            <v>CABO DE COBRE FLEXÍVEL ISOLADO, 35 MM², ANTI-CHAMA 0,6/1,0 KV, PARA DISTRIBUIÇÃO - FORNECIMENTO E INSTALAÇÃO. AF_12/2015 COR VERDE.</v>
          </cell>
          <cell r="E48" t="str">
            <v>M</v>
          </cell>
          <cell r="F48">
            <v>17.690000000000001</v>
          </cell>
        </row>
        <row r="49">
          <cell r="B49">
            <v>92990</v>
          </cell>
          <cell r="C49" t="str">
            <v>SINAPI</v>
          </cell>
          <cell r="D49" t="str">
            <v>CABO DE COBRE FLEXÍVEL ISOLADO, 70 MM², ANTI-CHAMA 0,6/1,0 KV, PARA DISTRIBUIÇÃO - FORNECIMENTO E INSTALAÇÃO. AF_12/2015</v>
          </cell>
          <cell r="E49" t="str">
            <v>M</v>
          </cell>
          <cell r="F49">
            <v>33.43</v>
          </cell>
        </row>
        <row r="50">
          <cell r="B50">
            <v>92992</v>
          </cell>
          <cell r="C50" t="str">
            <v>SINAPI</v>
          </cell>
          <cell r="D50" t="str">
            <v>CABO DE COBRE FLEXÍVEL ISOLADO, 95 MM², ANTI-CHAMA 0,6/1,0 KV, PARA DISTRIBUIÇÃO - FORNECIMENTO E INSTALAÇÃO. AF_12/2015</v>
          </cell>
          <cell r="E50" t="str">
            <v>M</v>
          </cell>
          <cell r="F50">
            <v>43.95</v>
          </cell>
        </row>
        <row r="51">
          <cell r="B51">
            <v>92998</v>
          </cell>
          <cell r="C51" t="str">
            <v>SINAPI</v>
          </cell>
          <cell r="D51" t="str">
            <v>CABO DE COBRE FLEXÍVEL ISOLADO, 185 MM², ANTI-CHAMA 0,6/1,0 KV, PARA DISTRIBUIÇÃO - FORNECIMENTO E INSTALAÇÃO. AF_12/2015</v>
          </cell>
          <cell r="E51" t="str">
            <v>M</v>
          </cell>
          <cell r="F51">
            <v>85.31</v>
          </cell>
        </row>
        <row r="52">
          <cell r="B52">
            <v>92994</v>
          </cell>
          <cell r="C52" t="str">
            <v>SINAPI</v>
          </cell>
          <cell r="D52" t="str">
            <v>CABO DE COBRE FLEXÍVEL ISOLADO, 120 MM², ANTI-CHAMA 0,6/1,0 KV, PARA DISTRIBUIÇÃO - FORNECIMENTO E INSTALAÇÃO. AF_12/2015COR PRETA.</v>
          </cell>
          <cell r="E52" t="str">
            <v>M</v>
          </cell>
          <cell r="F52">
            <v>56.65</v>
          </cell>
        </row>
        <row r="53">
          <cell r="B53" t="str">
            <v xml:space="preserve">380404 </v>
          </cell>
          <cell r="C53" t="str">
            <v>CPOS</v>
          </cell>
          <cell r="D53" t="str">
            <v xml:space="preserve">ELETRODUTO DE FERRO GALVANIZADO, MÉDIO DE 3/4' - COM ACESSÓRIOS </v>
          </cell>
          <cell r="E53" t="str">
            <v>M</v>
          </cell>
          <cell r="F53">
            <v>20.7</v>
          </cell>
        </row>
        <row r="54">
          <cell r="B54" t="str">
            <v xml:space="preserve">380406 </v>
          </cell>
          <cell r="C54" t="str">
            <v>CPOS</v>
          </cell>
          <cell r="D54" t="str">
            <v xml:space="preserve">ELETRODUTO DE FERRO GALVANIZADO, MÉDIO DE 1' - COM ACESSÓRIOS </v>
          </cell>
          <cell r="E54" t="str">
            <v>M</v>
          </cell>
          <cell r="F54">
            <v>24.56</v>
          </cell>
        </row>
        <row r="55">
          <cell r="B55" t="str">
            <v xml:space="preserve">380410 </v>
          </cell>
          <cell r="C55" t="str">
            <v>CPOS</v>
          </cell>
          <cell r="D55" t="str">
            <v xml:space="preserve">ELETRODUTO DE FERRO GALVANIZADO, MÉDIO DE 1 1/2' - COM ACESSÓRIOS </v>
          </cell>
          <cell r="E55" t="str">
            <v>M</v>
          </cell>
          <cell r="F55">
            <v>34.200000000000003</v>
          </cell>
        </row>
        <row r="56">
          <cell r="B56" t="str">
            <v xml:space="preserve">380412 </v>
          </cell>
          <cell r="C56" t="str">
            <v>CPOS</v>
          </cell>
          <cell r="D56" t="str">
            <v xml:space="preserve">ELETRODUTO DE FERRO GALVANIZADO, MÉDIO DE 2' - COM ACESSÓRIOS </v>
          </cell>
          <cell r="E56" t="str">
            <v>M</v>
          </cell>
          <cell r="F56">
            <v>39.76</v>
          </cell>
        </row>
        <row r="57">
          <cell r="B57" t="str">
            <v xml:space="preserve">93012 </v>
          </cell>
          <cell r="C57" t="str">
            <v>SINAPI</v>
          </cell>
          <cell r="D57" t="str">
            <v>ELETRODUTO RÍGIDO ROSCÁVEL, PVC, DN 110 MM (4") - FORNECIMENTO E INSTALAÇÃO. AF_12/2015</v>
          </cell>
          <cell r="E57" t="str">
            <v>M</v>
          </cell>
          <cell r="F57">
            <v>32.75</v>
          </cell>
        </row>
        <row r="58">
          <cell r="B58" t="str">
            <v xml:space="preserve">73769/004 </v>
          </cell>
          <cell r="C58" t="str">
            <v>SINAPI</v>
          </cell>
          <cell r="D58" t="str">
            <v>POSTE DE ACO CONICO CONTINUO RETO, FLANGEADO, H=9M - FORNECIMENTO E INSTALACAO</v>
          </cell>
          <cell r="E58" t="str">
            <v>PÇ.</v>
          </cell>
          <cell r="F58">
            <v>1342.1</v>
          </cell>
        </row>
        <row r="59">
          <cell r="B59">
            <v>72254</v>
          </cell>
          <cell r="C59" t="str">
            <v>SINAPI</v>
          </cell>
          <cell r="D59" t="str">
            <v>CABO DE COBRE NU, SEÇÃO 50 MM², ENCORDOAMENTO CLASSE 2.</v>
          </cell>
          <cell r="E59" t="str">
            <v>M</v>
          </cell>
          <cell r="F59">
            <v>31.11</v>
          </cell>
        </row>
        <row r="60">
          <cell r="B60">
            <v>83484</v>
          </cell>
          <cell r="C60" t="str">
            <v>SINAPI</v>
          </cell>
          <cell r="D60" t="str">
            <v>HASTE DE ATERRAMENTO DE AÇO COBREADO Ø3/4"X3,0M.</v>
          </cell>
          <cell r="E60" t="str">
            <v>PÇ.</v>
          </cell>
          <cell r="F60">
            <v>61.62</v>
          </cell>
        </row>
        <row r="61">
          <cell r="B61" t="str">
            <v>73857/005</v>
          </cell>
          <cell r="C61" t="str">
            <v>SINAPI</v>
          </cell>
          <cell r="D61" t="str">
            <v>TRANSFORMADOR DISTRIBUICAO 300KVA TRIFASICO 60HZ CLASSE 15KV IMERSO EM ÓLEO MINERAL FORNECIMENTO E INSTALACAO</v>
          </cell>
          <cell r="E61" t="str">
            <v>PÇ</v>
          </cell>
          <cell r="F61">
            <v>16350.61</v>
          </cell>
        </row>
        <row r="62">
          <cell r="B62">
            <v>72252</v>
          </cell>
          <cell r="C62" t="str">
            <v>SINAPI</v>
          </cell>
          <cell r="D62" t="str">
            <v>CABO DE COBRE NU, MEIO DURO #25MM²</v>
          </cell>
          <cell r="E62" t="str">
            <v>M</v>
          </cell>
          <cell r="F62">
            <v>16.489999999999998</v>
          </cell>
        </row>
        <row r="63">
          <cell r="B63">
            <v>72254</v>
          </cell>
          <cell r="C63" t="str">
            <v>SINAPI</v>
          </cell>
          <cell r="D63" t="str">
            <v>CABO DE COBRE NU, SEÇÃO 50 MM², ENCORDOAMENTO CLASSE 2.</v>
          </cell>
          <cell r="E63" t="str">
            <v>M</v>
          </cell>
          <cell r="F63">
            <v>31.11</v>
          </cell>
        </row>
        <row r="64">
          <cell r="B64" t="str">
            <v xml:space="preserve">74005/002 </v>
          </cell>
          <cell r="C64" t="str">
            <v>SINAPI</v>
          </cell>
          <cell r="D64" t="str">
            <v>COMPACTACAO MECANICA C/ CONTROLE DO GC&gt;=95% DO PN (AREAS) (C/MONIVELADORA 140 HP E ROLO COMPRESSOR VIBRATORIO 80 HP)</v>
          </cell>
          <cell r="E64" t="str">
            <v>M³</v>
          </cell>
          <cell r="F64">
            <v>4.83</v>
          </cell>
        </row>
        <row r="65">
          <cell r="B65" t="str">
            <v xml:space="preserve">090206 </v>
          </cell>
          <cell r="C65" t="str">
            <v>CPOS</v>
          </cell>
          <cell r="D65" t="str">
            <v xml:space="preserve">FORMA CURVA EM COMPENSADO PARA ESTRUTURA APARENTE </v>
          </cell>
          <cell r="E65" t="str">
            <v>M²</v>
          </cell>
          <cell r="F65">
            <v>107.03</v>
          </cell>
        </row>
        <row r="66">
          <cell r="B66" t="str">
            <v xml:space="preserve">080202 </v>
          </cell>
          <cell r="C66" t="str">
            <v>CPOS</v>
          </cell>
          <cell r="D66" t="str">
            <v>CIMBRAMENTO EM MADEIRA COM ESTRONCAS DE EUCALIPTO</v>
          </cell>
          <cell r="E66" t="str">
            <v>M³</v>
          </cell>
          <cell r="F66">
            <v>27.46</v>
          </cell>
        </row>
        <row r="67">
          <cell r="B67">
            <v>83682</v>
          </cell>
          <cell r="C67" t="str">
            <v>SINAPI</v>
          </cell>
          <cell r="D67" t="str">
            <v>CAMADA VERTICAL DRENANTE C/ PEDRA BRITADA NÚMERO 1 E 2.</v>
          </cell>
          <cell r="E67" t="str">
            <v>M³</v>
          </cell>
          <cell r="F67">
            <v>94.45</v>
          </cell>
        </row>
        <row r="68">
          <cell r="B68">
            <v>72131</v>
          </cell>
          <cell r="C68" t="str">
            <v>SINAPI</v>
          </cell>
          <cell r="D68" t="str">
            <v>ALVENARIA EM TIJOLO CERAMICO MACICO 5X10X20CM 1 VEZ (ESPESSURA 20CM), ASSENTADO COM ARGAMASSA TRACO 1:2:8 (CIMENTO, CAL E AREIA)</v>
          </cell>
          <cell r="E68" t="str">
            <v>M²</v>
          </cell>
          <cell r="F68">
            <v>110.93</v>
          </cell>
        </row>
        <row r="69">
          <cell r="B69">
            <v>72132</v>
          </cell>
          <cell r="C69" t="str">
            <v>SINAPI</v>
          </cell>
          <cell r="D69" t="str">
            <v>ALVENARIA EM TIJOLO CERAMICO MACICO 5X10X20CM 1/2 VEZ (ESPESSURA 10CM), ASSENTADO COM ARGAMASSA TRACO 1:2:8 (CIMENTO, CAL E AREIA)</v>
          </cell>
          <cell r="E69" t="str">
            <v>M²</v>
          </cell>
          <cell r="F69">
            <v>57.5</v>
          </cell>
        </row>
        <row r="70">
          <cell r="B70">
            <v>72131</v>
          </cell>
          <cell r="C70" t="str">
            <v>SINAPI</v>
          </cell>
          <cell r="D70" t="str">
            <v>ALVENARIA EM TIJOLO CERAMICO MACICO 5X10X20CM 1 VEZ (ESPESSURA 20CM), ASSENTADO COM ARGAMASSA TRACO 1:2:8 (CIMENTO, CAL E AREIA)</v>
          </cell>
          <cell r="E70" t="str">
            <v>M²</v>
          </cell>
          <cell r="F70">
            <v>110.93</v>
          </cell>
        </row>
        <row r="71">
          <cell r="B71" t="str">
            <v>74106/001</v>
          </cell>
          <cell r="C71" t="str">
            <v>SINAPI</v>
          </cell>
          <cell r="D71" t="str">
            <v>IMPERMEABILIZACAO DE ESTRUTURAS ENTERRADAS,COM TINTA ASFALTICA, DUAS DEMÃOS.</v>
          </cell>
          <cell r="E71" t="str">
            <v>M²</v>
          </cell>
          <cell r="F71">
            <v>9.2899999999999991</v>
          </cell>
        </row>
        <row r="72">
          <cell r="B72" t="str">
            <v xml:space="preserve">88489 </v>
          </cell>
          <cell r="C72" t="str">
            <v>SINAPI</v>
          </cell>
          <cell r="D72" t="str">
            <v>APLICAÇÃO MANUAL DE PINTURA COM TINTA LÁTEX ACRÍLICA EM PAREDES, DUAS DEMÃOS. AF_06/2014</v>
          </cell>
          <cell r="E72" t="str">
            <v>M²</v>
          </cell>
          <cell r="F72">
            <v>9.69</v>
          </cell>
        </row>
        <row r="73">
          <cell r="B73">
            <v>90808</v>
          </cell>
          <cell r="C73" t="str">
            <v>SINAPI</v>
          </cell>
          <cell r="D73" t="str">
            <v>ESTACA HÉLICE CONTÍNUA, DIÂMETRO DE 30 CM, COMPRIMENTO TOTAL ATÉ 15 M, PERFURATRIZ COM TORQUE DE 170 KN.M (EXCLUSIVE MOBILIZAÇÃO E DESMOBILIZAÇÃO). AF_02/2015</v>
          </cell>
          <cell r="E73" t="str">
            <v>M</v>
          </cell>
          <cell r="F73">
            <v>59.34</v>
          </cell>
        </row>
        <row r="74">
          <cell r="B74" t="str">
            <v xml:space="preserve">92264 </v>
          </cell>
          <cell r="C74" t="str">
            <v>SINAPI</v>
          </cell>
          <cell r="D74" t="str">
            <v>FABRICAÇÃO DE FÔRMA PARA PILARES E ESTRUTURAS SIMILARES, EM CHAPA DE MADEIRA COMPENSADA PLASTIFICADA, E = 18 MM. AF_12/2015</v>
          </cell>
          <cell r="E74" t="str">
            <v>M²</v>
          </cell>
          <cell r="F74">
            <v>99.07</v>
          </cell>
        </row>
        <row r="75">
          <cell r="B75">
            <v>84678</v>
          </cell>
          <cell r="C75" t="str">
            <v>SINAPI</v>
          </cell>
          <cell r="D75" t="str">
            <v xml:space="preserve">VERNIZ POLIURETANO BRILHANTE EM CONCRETO OU TIJOLO, TRES DEMAOS </v>
          </cell>
          <cell r="E75" t="str">
            <v>M²</v>
          </cell>
          <cell r="F75">
            <v>16.84</v>
          </cell>
        </row>
        <row r="76">
          <cell r="B76">
            <v>87451</v>
          </cell>
          <cell r="C76" t="str">
            <v>SINAPI</v>
          </cell>
          <cell r="D76" t="str">
            <v>ALVENARIA DE VEDAÇÃO DE BLOCOS VAZADOS DE CONCRETO DE 19X19X39CM (ESPESSURA 19CM) DE PAREDES COM ÁREA LÍQUIDA MENOR QUE 6M² SEM VÃOS E ARGAMASSA DE ASSENTAMENTO COM PREPARO EM BETONEIRA. AF_06/2014</v>
          </cell>
          <cell r="E76" t="str">
            <v>M²</v>
          </cell>
          <cell r="F76">
            <v>70.959999999999994</v>
          </cell>
        </row>
        <row r="77">
          <cell r="B77">
            <v>87455</v>
          </cell>
          <cell r="C77" t="str">
            <v>SINAPI</v>
          </cell>
          <cell r="D77" t="str">
            <v>ALVENARIA DE VEDAÇÃO DE BLOCOS VAZADOS DE CONCRETO DE 14X19X39CM (ESPESSURA 14CM) DE PAREDES COM ÁREA LÍQUIDA MAIOR OU IGUAL A 6M² SEM VÃOS E ARGAMASSA DE ASSENTAMENTO COM PREPARO EM BETONEIRA. AF_06/2014</v>
          </cell>
          <cell r="E77" t="str">
            <v>M²</v>
          </cell>
          <cell r="F77">
            <v>54.23</v>
          </cell>
        </row>
        <row r="78">
          <cell r="B78">
            <v>87454</v>
          </cell>
          <cell r="C78" t="str">
            <v>SINAPI</v>
          </cell>
          <cell r="D78" t="str">
            <v xml:space="preserve"> ALVENARIA DE VEDAÇÃO DE BLOCOS VAZADOS DE CONCRETO DE 9X19X39CM (ESPESSURA 9CM) DE PAREDES COM ÁREA LÍQUIDA MAIOR OU IGUAL A 6M² SEM VÃOS E ARGAMASSA DE ASSENTAMENTO COM PREPARO MANUAL. AF_06/2014</v>
          </cell>
          <cell r="E78" t="str">
            <v>M²</v>
          </cell>
          <cell r="F78">
            <v>43.14</v>
          </cell>
        </row>
        <row r="79">
          <cell r="B79">
            <v>73656</v>
          </cell>
          <cell r="C79" t="str">
            <v>SINAPI</v>
          </cell>
          <cell r="D79" t="str">
            <v xml:space="preserve">JATEAMENTO COM AREIA EM ESTRUTURA METALICA </v>
          </cell>
          <cell r="E79" t="str">
            <v>M²</v>
          </cell>
          <cell r="F79">
            <v>14.37</v>
          </cell>
        </row>
        <row r="80">
          <cell r="B80" t="str">
            <v xml:space="preserve">73865/001 </v>
          </cell>
          <cell r="C80" t="str">
            <v>SINAPI</v>
          </cell>
          <cell r="D80" t="str">
            <v>FUNDO PREPARADOR PRIMER A BASE DE EPOXI, PARA ESTRUTURA METALICA, UMA DEMAO, ESPESSURA DE 25 MICRA.</v>
          </cell>
          <cell r="E80" t="str">
            <v>M²</v>
          </cell>
          <cell r="F80">
            <v>7.89</v>
          </cell>
        </row>
        <row r="81">
          <cell r="B81" t="str">
            <v xml:space="preserve">73924/003 </v>
          </cell>
          <cell r="C81" t="str">
            <v>SINAPI</v>
          </cell>
          <cell r="D81" t="str">
            <v xml:space="preserve">PINTURA ESMALTE FOSCO, DUAS DEMAOS, SOBRE SUPERFICIE METALICA </v>
          </cell>
          <cell r="E81" t="str">
            <v>M²</v>
          </cell>
          <cell r="F81">
            <v>23.73</v>
          </cell>
        </row>
        <row r="82">
          <cell r="B82" t="str">
            <v xml:space="preserve">73888/003 </v>
          </cell>
          <cell r="C82" t="str">
            <v>SINAPI</v>
          </cell>
          <cell r="D82" t="str">
            <v>ASSENTAMENTO TUBO PVC COM JUNTA ELASTICA, DN 100 MM - (OU RPVC, OU PVC DEFOFO, OU PRFV) - PARA AGUA.</v>
          </cell>
          <cell r="E82" t="str">
            <v>M</v>
          </cell>
          <cell r="F82">
            <v>2.92</v>
          </cell>
        </row>
        <row r="83">
          <cell r="B83" t="str">
            <v xml:space="preserve">73888/009 </v>
          </cell>
          <cell r="C83" t="str">
            <v>SINAPI</v>
          </cell>
          <cell r="D83" t="str">
            <v>ASSENTAMENTO TUBO PVC COM JUNTA ELASTICA, DN 400 MM - (OU RPVC, OU PVC DEFOFO, OU PRFV) - PARA AGUA.</v>
          </cell>
          <cell r="E83" t="str">
            <v>M</v>
          </cell>
          <cell r="F83">
            <v>8.3000000000000007</v>
          </cell>
        </row>
        <row r="84">
          <cell r="B84">
            <v>95474</v>
          </cell>
          <cell r="C84" t="str">
            <v>SINAPI</v>
          </cell>
          <cell r="D84" t="str">
            <v>ALVENARIA DE EMBASAMENTO EM TIJOLOS CERAMICOS MACICOS 5X10X20CM, ASSENTADO COM ARGAMASSA TRACO 1:2:8 (CIMENTO, CAL E AREIA)</v>
          </cell>
          <cell r="E84" t="str">
            <v>M³</v>
          </cell>
          <cell r="F84">
            <v>566.95000000000005</v>
          </cell>
        </row>
        <row r="85">
          <cell r="B85">
            <v>94218</v>
          </cell>
          <cell r="C85" t="str">
            <v>SINAPI</v>
          </cell>
          <cell r="D85" t="str">
            <v xml:space="preserve"> TELHAMENTO COM TELHA ESTRUTURAL DE FIBROCIMENTO E= 6 MM, COM ATÉ 2 ÁGUAS, INCLUSO IÇAMENTO. AF_06/2016</v>
          </cell>
          <cell r="E85" t="str">
            <v>M²</v>
          </cell>
          <cell r="F85">
            <v>84.16</v>
          </cell>
        </row>
        <row r="86">
          <cell r="B86" t="str">
            <v xml:space="preserve">73873/003 </v>
          </cell>
          <cell r="C86" t="str">
            <v>SINAPI</v>
          </cell>
          <cell r="D86" t="str">
            <v xml:space="preserve">LEITO FILTRANTE - COLOCACAO DE AREIA NOS FILTROS </v>
          </cell>
          <cell r="E86" t="str">
            <v>M³</v>
          </cell>
          <cell r="F86">
            <v>75.13</v>
          </cell>
        </row>
        <row r="87">
          <cell r="B87" t="str">
            <v xml:space="preserve">73873/004 </v>
          </cell>
          <cell r="C87" t="str">
            <v>SINAPI</v>
          </cell>
          <cell r="D87" t="str">
            <v xml:space="preserve">LEITO FILTRANTE - COLOCACAO DE PEDREGULHOS NOS FILTROS </v>
          </cell>
          <cell r="E87" t="str">
            <v>M³</v>
          </cell>
          <cell r="F87">
            <v>82.29</v>
          </cell>
        </row>
        <row r="88">
          <cell r="B88" t="str">
            <v xml:space="preserve">73873/005 </v>
          </cell>
          <cell r="C88" t="str">
            <v>SINAPI</v>
          </cell>
          <cell r="D88" t="str">
            <v xml:space="preserve">LEITO FILTRANTE - COLOCACAO DE ANTRACITO NOS FILTROS </v>
          </cell>
          <cell r="E88" t="str">
            <v>M³</v>
          </cell>
          <cell r="F88">
            <v>75.13</v>
          </cell>
        </row>
        <row r="89">
          <cell r="B89">
            <v>94098</v>
          </cell>
          <cell r="C89" t="str">
            <v>SINAPI</v>
          </cell>
          <cell r="D89" t="str">
            <v>PREPARO DE FUNDO DE VALA COM LARGURA MENOR QUE 1,5 M, EM LOCAL COM NÍVEL ALTO DE INTERFERÊNCIA. AF_06/2016</v>
          </cell>
          <cell r="E89" t="str">
            <v>M²</v>
          </cell>
          <cell r="F89">
            <v>5.53</v>
          </cell>
        </row>
        <row r="90">
          <cell r="B90">
            <v>92763</v>
          </cell>
          <cell r="C90" t="str">
            <v>SINAPI</v>
          </cell>
          <cell r="D90" t="str">
            <v>ARMAÇÃO DE PILAR OU VIGA DE UMA ESTRUTURA CONVENCIONAL DE CONCRETO ARMADO EM UM EDIFÍCIO DE MÚLTIPLOS PAVIMENTOS UTILIZANDO AÇO CA-50 DE 12.5 MM - MONTAGEM. AF_12/2015</v>
          </cell>
          <cell r="E90" t="str">
            <v>KG</v>
          </cell>
          <cell r="F90">
            <v>6.29</v>
          </cell>
        </row>
        <row r="91">
          <cell r="B91">
            <v>92765</v>
          </cell>
          <cell r="C91" t="str">
            <v>SINAPI</v>
          </cell>
          <cell r="D91" t="str">
            <v>ARMAÇÃO DE PILAR OU VIGA DE UMA ESTRUTURA CONVENCIONAL DE CONCRETO ARMADO EM UM EDIFÍCIO DE MÚLTIPLOS PAVIMENTOS UTILIZANDO AÇO CA-50 DE 20.0 MM - MONTAGEM. AF_12/2015</v>
          </cell>
          <cell r="E91" t="str">
            <v>KG</v>
          </cell>
          <cell r="F91">
            <v>4.32</v>
          </cell>
        </row>
        <row r="92">
          <cell r="B92">
            <v>250202</v>
          </cell>
          <cell r="C92" t="str">
            <v>CPOS</v>
          </cell>
          <cell r="D92" t="str">
            <v xml:space="preserve">Porta de entrada de abrir em alumínio, sob medida </v>
          </cell>
          <cell r="E92" t="str">
            <v>M²</v>
          </cell>
          <cell r="F92">
            <v>706.6</v>
          </cell>
        </row>
        <row r="93">
          <cell r="B93">
            <v>11075</v>
          </cell>
          <cell r="C93" t="str">
            <v>SINAPI (INSUMO)</v>
          </cell>
          <cell r="D93" t="str">
            <v>AREIA PARA LEITO FILTRANTE (0,42 A 1,68 MM) - POSTO JAZIDA/FORNECEDOR (RETIRADO NA JAZIDA, SEM TRANSPORTE)</v>
          </cell>
          <cell r="E93" t="str">
            <v>M³</v>
          </cell>
          <cell r="F93">
            <v>994.78</v>
          </cell>
        </row>
        <row r="94">
          <cell r="B94">
            <v>11082</v>
          </cell>
          <cell r="C94" t="str">
            <v>SINAPI (INSUMO)</v>
          </cell>
          <cell r="D94" t="str">
            <v>MATERIAL FILTRANTE (PEDREGULHO) 38 A 25,4 MM (POSTO PEDREIRA/FORNECEDOR, SEM FRETE)</v>
          </cell>
          <cell r="E94" t="str">
            <v>M³</v>
          </cell>
          <cell r="F94">
            <v>614.53</v>
          </cell>
        </row>
        <row r="95">
          <cell r="B95">
            <v>11079</v>
          </cell>
          <cell r="C95" t="str">
            <v>SINAPI (INSUMO)</v>
          </cell>
          <cell r="F95">
            <v>602.34</v>
          </cell>
        </row>
        <row r="96">
          <cell r="B96">
            <v>10560</v>
          </cell>
          <cell r="C96" t="str">
            <v>SINAPI (INSUMO)</v>
          </cell>
          <cell r="D96" t="str">
            <v>CARVAO ANTRACITO PARA FILTRO, GRAO VARIANDO DE 0,8 ATE 1,1 MM, COEFICIENTE DE UNIFORMIDADE MENOR QUE 1,7 MM</v>
          </cell>
          <cell r="E96" t="str">
            <v>M³</v>
          </cell>
          <cell r="F96">
            <v>1236.05</v>
          </cell>
        </row>
        <row r="97">
          <cell r="B97" t="str">
            <v xml:space="preserve">73953/006 </v>
          </cell>
          <cell r="C97" t="str">
            <v>SINAPI</v>
          </cell>
          <cell r="D97" t="str">
            <v>LUMINARIA TIPO CALHA, DE SOBREPOR, COM REATOR DE PARTIDA RAPIDA E LAMPADA FLUORESCENTE 2X40W, COMPLETA, FORNECIMENTO E INSTALACAO</v>
          </cell>
          <cell r="E97" t="str">
            <v>UN.</v>
          </cell>
          <cell r="F97">
            <v>95.01</v>
          </cell>
        </row>
        <row r="98">
          <cell r="B98">
            <v>73679</v>
          </cell>
          <cell r="C98" t="str">
            <v>SINAPI</v>
          </cell>
          <cell r="D98" t="str">
            <v>LOCAÇÃO DE ADUTORAS, COLETORES TRONCO E INTERCEPTORES - ATÉ DN 500 MM</v>
          </cell>
          <cell r="E98" t="str">
            <v>M</v>
          </cell>
          <cell r="F98">
            <v>1.6</v>
          </cell>
        </row>
        <row r="99">
          <cell r="B99" t="str">
            <v xml:space="preserve">74219/001 </v>
          </cell>
          <cell r="C99" t="str">
            <v>SINAPI</v>
          </cell>
          <cell r="D99" t="str">
            <v>PASSADICOS COM TABUAS DE MADEIRA PARA PEDESTRES</v>
          </cell>
          <cell r="E99" t="str">
            <v>M²</v>
          </cell>
          <cell r="F99">
            <v>51.52</v>
          </cell>
        </row>
        <row r="100">
          <cell r="B100" t="str">
            <v xml:space="preserve">74219/002 </v>
          </cell>
          <cell r="C100" t="str">
            <v>SINAPI</v>
          </cell>
          <cell r="D100" t="str">
            <v xml:space="preserve">PASSADICOS COM TABUAS DE MADEIRA PARA VEICULOS </v>
          </cell>
          <cell r="E100" t="str">
            <v>M²</v>
          </cell>
          <cell r="F100">
            <v>46.27</v>
          </cell>
        </row>
        <row r="101">
          <cell r="B101">
            <v>93379</v>
          </cell>
          <cell r="C101" t="str">
            <v>SINAPI</v>
          </cell>
          <cell r="D101" t="str">
            <v>REATERRO MECANIZADO DE VALA COM RETROESCAVADEIRA (CAPACIDADE DA CAÇAMBA DA RETRO: 0,26 M³ /POTÊNCIA: 88 HP), LARGURA DE 0,8 A 1,5 M, PROFUNDIDADE ATÉ 1,5 M, COM SOLO (SEM SUBSTITUIÇÃO) DE 1ª CATEGORIA EM LOCAIS COM BAIXO NÍVEL DE INTERFERÊNCIA. AF_04/2016</v>
          </cell>
          <cell r="E101" t="str">
            <v>M³</v>
          </cell>
          <cell r="F101">
            <v>13.36</v>
          </cell>
        </row>
        <row r="102">
          <cell r="B102">
            <v>79472</v>
          </cell>
          <cell r="C102" t="str">
            <v>SINAPI</v>
          </cell>
          <cell r="D102" t="str">
            <v xml:space="preserve">REGULARIZACAO DE SUPERFICIES EM TERRA COM MOTONIVELADORA </v>
          </cell>
          <cell r="E102" t="str">
            <v>M²</v>
          </cell>
          <cell r="F102">
            <v>0.46</v>
          </cell>
        </row>
        <row r="103">
          <cell r="B103" t="str">
            <v xml:space="preserve">73887/011 </v>
          </cell>
          <cell r="C103" t="str">
            <v>SINAPI</v>
          </cell>
          <cell r="D103" t="str">
            <v>ASSENTAMENTO SIMPLES DE TUBOS DE FERRO FUNDIDO (FOFO) C/ JUNTA ELASTICA - DN 600 MM - INCLUSIVE TRANSPORTE</v>
          </cell>
          <cell r="E103" t="str">
            <v>M</v>
          </cell>
          <cell r="F103">
            <v>22.3</v>
          </cell>
        </row>
        <row r="104">
          <cell r="B104" t="str">
            <v xml:space="preserve">73888/003 </v>
          </cell>
          <cell r="C104" t="str">
            <v>SINAPI</v>
          </cell>
          <cell r="D104" t="str">
            <v>ASSENTAMENTO TUBO PVC COM JUNTA ELASTICA, DN 100 MM - (OU RPVC, OU PVC DEFOFO, OU PRFV) - PARA AGUA.</v>
          </cell>
          <cell r="E104" t="str">
            <v>M</v>
          </cell>
          <cell r="F104">
            <v>2.92</v>
          </cell>
        </row>
        <row r="105">
          <cell r="B105" t="str">
            <v xml:space="preserve">73753/001 </v>
          </cell>
          <cell r="C105" t="str">
            <v>SINAPI</v>
          </cell>
          <cell r="D105" t="str">
            <v>IMPERMEABILIZACAO DE SUPERFICIE COM MANTA ASFALTICA PROTEGIDA COM FILME DE ALUMINIO GOFRADO (DE ESPESSURA 0,8MM), INCLUSA APLICACAO DE EMULSAO ASFALTICA, E=3MM.</v>
          </cell>
          <cell r="E105" t="str">
            <v>M²</v>
          </cell>
          <cell r="F105">
            <v>85.69</v>
          </cell>
        </row>
        <row r="106">
          <cell r="B106" t="str">
            <v xml:space="preserve">73994/001 </v>
          </cell>
          <cell r="C106" t="str">
            <v>SINAPI</v>
          </cell>
          <cell r="D106" t="str">
            <v>ARMACAO EM TELA DE ACO SOLDADA NERVURADA Q-138, ACO CA-60, 4,2MM, MALHA 10X10CM</v>
          </cell>
          <cell r="E106" t="str">
            <v>KG</v>
          </cell>
          <cell r="F106">
            <v>5.97</v>
          </cell>
        </row>
        <row r="107">
          <cell r="B107" t="str">
            <v xml:space="preserve">74202/002 </v>
          </cell>
          <cell r="C107" t="str">
            <v>SINAPI</v>
          </cell>
          <cell r="D107" t="str">
            <v>LAJE PRE-MOLDADA P/PISO, SOBRECARGA 200KG/M2, VAOS ATE 3,50M/E=8CM, C/ LAJOTAS E CAP.C/CONC FCK=20MPA, 4CM, INTER-EIXO 38CM, C/ESCORAMENTO (REAPR.3X) E FERRAGEM NEGATIVA</v>
          </cell>
          <cell r="E107" t="str">
            <v>M²</v>
          </cell>
          <cell r="F107">
            <v>66.27</v>
          </cell>
        </row>
        <row r="108">
          <cell r="B108">
            <v>89455</v>
          </cell>
          <cell r="C108" t="str">
            <v>SINAPI</v>
          </cell>
          <cell r="D108" t="str">
            <v>ALVENARIA DE BLOCOS DE CONCRETO ESTRUTURAL 14X19X39 CM, (ESPESSURA 14CM) FBK = 14,0 MPA, PARA PAREDES COM ÁREA LÍQUIDA MENOR QUE 6M², SEM VÃOS, UTILIZANDO PALHETA. AF_12/2014</v>
          </cell>
          <cell r="E108" t="str">
            <v>M²</v>
          </cell>
          <cell r="F108">
            <v>63.41</v>
          </cell>
        </row>
        <row r="109">
          <cell r="B109" t="str">
            <v xml:space="preserve">73937/001 </v>
          </cell>
          <cell r="C109" t="str">
            <v>SINAPI</v>
          </cell>
          <cell r="D109" t="str">
            <v>COBOGO DE CONCRETO (ELEMENTO VAZADO), 7X50X50CM, ASSENTADO COM ARGAMASSA TRACO 1:4 (CIMENTO E AREIA)</v>
          </cell>
          <cell r="E109" t="str">
            <v>M²</v>
          </cell>
          <cell r="F109">
            <v>104.32</v>
          </cell>
        </row>
        <row r="110">
          <cell r="B110">
            <v>94231</v>
          </cell>
          <cell r="C110" t="str">
            <v>SINAPI</v>
          </cell>
          <cell r="D110" t="str">
            <v>RUFO EM CHAPA DE AÇO GALVANIZADO NÚMERO 24, CORTE DE 25 CM, INCLUSO TRANSPORTE VERTICAL. AF_06/2016</v>
          </cell>
          <cell r="E110" t="str">
            <v>M</v>
          </cell>
          <cell r="F110">
            <v>24.15</v>
          </cell>
        </row>
        <row r="111">
          <cell r="B111">
            <v>163302</v>
          </cell>
          <cell r="C111" t="str">
            <v>CPOS</v>
          </cell>
          <cell r="D111" t="str">
            <v xml:space="preserve">Calha, rufo, afins em chapa galvanizada nº 24 - corte 0,33 m </v>
          </cell>
          <cell r="E111" t="str">
            <v>M</v>
          </cell>
          <cell r="F111">
            <v>52.9</v>
          </cell>
        </row>
        <row r="112">
          <cell r="B112">
            <v>163304</v>
          </cell>
          <cell r="C112" t="str">
            <v>CPOS</v>
          </cell>
          <cell r="D112" t="str">
            <v xml:space="preserve">Calha, rufo, afins em chapa galvanizada nº 24 - corte 0,50 m </v>
          </cell>
          <cell r="E112" t="str">
            <v>M</v>
          </cell>
          <cell r="F112">
            <v>73.459999999999994</v>
          </cell>
        </row>
        <row r="113">
          <cell r="B113">
            <v>94230</v>
          </cell>
          <cell r="C113" t="str">
            <v>SINAPI</v>
          </cell>
          <cell r="D113" t="str">
            <v>CALHA DE BEIRAL, SEMICIRCULAR DE PVC, DIAMETRO 125 MM, INCLUINDO CABECEIRAS, EMENDAS, BOCAIS, SUPORTES E VEDAÇÕES, EXCLUINDO CONDUTORES, INCLUSO TRANSPORTE VERTICAL. AF_06/2016</v>
          </cell>
          <cell r="E113" t="str">
            <v>M</v>
          </cell>
          <cell r="F113">
            <v>57.15</v>
          </cell>
        </row>
        <row r="114">
          <cell r="B114">
            <v>91013</v>
          </cell>
          <cell r="C114" t="str">
            <v>SINAPI</v>
          </cell>
          <cell r="D114" t="str">
            <v>KIT DE PORTA DE MADEIRA PARA VERNIZ, SEMI-OCA (LEVE OU MÉDIA), PADRÃO MÉDIO, 60X210CM, ESPESSURA DE 3,5CM, ITENS INCLUSOS: DOBRADIÇAS, MONTAGEM E INSTALAÇÃO DO BATENTE, SEM FECHADURA - FORNECIMENTO E INSTALAÇÃO. AF_08/2015</v>
          </cell>
          <cell r="E114" t="str">
            <v>UN.</v>
          </cell>
          <cell r="F114">
            <v>549.4</v>
          </cell>
        </row>
        <row r="116">
          <cell r="B116">
            <v>91015</v>
          </cell>
          <cell r="C116" t="str">
            <v>SINAPI</v>
          </cell>
          <cell r="D116" t="str">
            <v>KIT DE PORTA DE MADEIRA PARA VERNIZ, SEMI-OCA (LEVE OU MÉDIA), PADRÃO MÉDIO, 80X210CM, ESPESSURA DE 3,5CM, ITENS INCLUSOS: DOBRADIÇAS, MONTAGEM E INSTALAÇÃO DO BATENTE, SEM FECHADURA - FORNECIMENTO E INSTALAÇÃO. AF_08/2015</v>
          </cell>
          <cell r="E116" t="str">
            <v>UN.</v>
          </cell>
          <cell r="F116">
            <v>615.78</v>
          </cell>
        </row>
        <row r="117">
          <cell r="B117">
            <v>91016</v>
          </cell>
          <cell r="C117" t="str">
            <v>SINAPI</v>
          </cell>
          <cell r="D117" t="str">
            <v>KIT DE PORTA DE MADEIRA PARA VERNIZ, SEMI-OCA (LEVE OU MÉDIA), PADRÃO MÉDIO, 90X210CM, ESPESSURA DE 3,5CM, ITENS INCLUSOS: DOBRADIÇAS, MONTAGEM E INSTALAÇÃO DO BATENTE, SEM FECHADURA - FORNECIMENTO E INSTALAÇÃO. AF_08/2015</v>
          </cell>
          <cell r="E117" t="str">
            <v>UN.</v>
          </cell>
          <cell r="F117">
            <v>617.34</v>
          </cell>
        </row>
        <row r="118">
          <cell r="B118">
            <v>250104</v>
          </cell>
          <cell r="C118" t="str">
            <v>CPOS</v>
          </cell>
          <cell r="D118" t="str">
            <v xml:space="preserve">Caixilho em alumínio basculante, sob medida </v>
          </cell>
          <cell r="E118" t="str">
            <v>M²</v>
          </cell>
          <cell r="F118">
            <v>610.01</v>
          </cell>
        </row>
        <row r="119">
          <cell r="B119">
            <v>250106</v>
          </cell>
          <cell r="C119" t="str">
            <v>CPOS</v>
          </cell>
          <cell r="D119" t="str">
            <v xml:space="preserve">Caixilho em alumínio maximar, sob medida </v>
          </cell>
          <cell r="E119" t="str">
            <v>M²</v>
          </cell>
          <cell r="F119">
            <v>536.9</v>
          </cell>
        </row>
        <row r="120">
          <cell r="B120">
            <v>250108</v>
          </cell>
          <cell r="C120" t="str">
            <v>CPOS</v>
          </cell>
          <cell r="D120" t="str">
            <v>Caixilho em alumínio de correr, sob medida</v>
          </cell>
          <cell r="E120" t="str">
            <v>M²</v>
          </cell>
          <cell r="F120">
            <v>555.67999999999995</v>
          </cell>
        </row>
        <row r="121">
          <cell r="B121">
            <v>87527</v>
          </cell>
          <cell r="C121" t="str">
            <v>SINAPI</v>
          </cell>
          <cell r="D121" t="str">
            <v>EMBOÇO, PARA RECEBIMENTO DE CERÂMICA, EM ARGAMASSA TRAÇO 1:2:8, PREPARO MECÂNICO COM BETONEIRA 400L, APLICADO MANUALMENTE EM FACES INTERNAS DE PAREDES, PARA AMBIENTE COM ÁREA MENOR QUE 5M2, ESPESSURA DE 20MM, COM EXECUÇÃO DE TALISCAS. AF_06/2014</v>
          </cell>
          <cell r="E121" t="str">
            <v>M²</v>
          </cell>
          <cell r="F121">
            <v>27.13</v>
          </cell>
        </row>
        <row r="122">
          <cell r="B122">
            <v>87784</v>
          </cell>
          <cell r="C122" t="str">
            <v>SINAPI</v>
          </cell>
          <cell r="D122" t="str">
            <v>EMBOÇO OU MASSA ÚNICA EM ARGAMASSA TRAÇO 1:2:8, PREPARO MECÂNICO COM BETONEIRA 400 L, APLICADA MANUALMENTE EM PANOS DE FACHADA COM PRESENÇA DE VÃOS, ESPESSURA DE 45 MM. AF_06/2014</v>
          </cell>
          <cell r="E122" t="str">
            <v>M²</v>
          </cell>
          <cell r="F122">
            <v>52.44</v>
          </cell>
        </row>
        <row r="123">
          <cell r="B123">
            <v>87266</v>
          </cell>
          <cell r="C123" t="str">
            <v>SINAPI</v>
          </cell>
          <cell r="D123" t="str">
            <v>REVESTIMENTO CERÂMICO PARA PAREDES INTERNAS COM PLACAS TIPO GRÊS OU SEMI-GRÊS DE DIMENSÕES 20X20 CM APLICADAS EM AMBIENTES DE ÁREA MENOR QUE 5 M² A MEIA ALTURA DAS PAREDES. AF_06/2014</v>
          </cell>
          <cell r="E123" t="str">
            <v>M²</v>
          </cell>
          <cell r="F123">
            <v>53.88</v>
          </cell>
        </row>
        <row r="124">
          <cell r="B124">
            <v>73548</v>
          </cell>
          <cell r="C124" t="str">
            <v>SINAPI</v>
          </cell>
          <cell r="D124" t="str">
            <v>ARGAMASSA TRACO 1:3 (CIMENTO E AREIA), PREPARO MANUAL, INCLUSO ADITIVO IMPERMEABILIZANTE</v>
          </cell>
          <cell r="E124" t="str">
            <v>M³</v>
          </cell>
          <cell r="F124">
            <v>485.86</v>
          </cell>
        </row>
        <row r="125">
          <cell r="B125">
            <v>87872</v>
          </cell>
          <cell r="C125" t="str">
            <v>SINAPI</v>
          </cell>
          <cell r="D125" t="str">
            <v>CHAPISCO APLICADO SOMENTE EM ESTRUTURAS DE CONCRETO EM ALVENARIAS INTERNAS, COM DESEMPENADEIRA DENTADA. ARGAMASSA INDUSTRIALIZADA COM PREPARO EM MISTURADOR 300 KG. AF_06/2014</v>
          </cell>
          <cell r="E125" t="str">
            <v>M²</v>
          </cell>
          <cell r="F125">
            <v>12.73</v>
          </cell>
        </row>
        <row r="126">
          <cell r="B126">
            <v>540712</v>
          </cell>
          <cell r="C126" t="str">
            <v>CPOS</v>
          </cell>
          <cell r="D126" t="str">
            <v>Piso em ladrilho hidráulico várias cores 20 x 20 cm, assentado com argamassa mista</v>
          </cell>
          <cell r="E126" t="str">
            <v>M²</v>
          </cell>
          <cell r="F126">
            <v>98.75</v>
          </cell>
        </row>
        <row r="127">
          <cell r="B127">
            <v>6225</v>
          </cell>
          <cell r="C127" t="str">
            <v>SINAPI</v>
          </cell>
          <cell r="D127" t="str">
            <v>IMPERMEABILIZACAO DE CALHAS/LAJES DESCOBERTAS, COM EMULSAO ASFALTICA COM ELASTOMEROS, 3 DEMAOS</v>
          </cell>
          <cell r="E127" t="str">
            <v>M²</v>
          </cell>
          <cell r="F127">
            <v>36.58</v>
          </cell>
        </row>
        <row r="128">
          <cell r="B128">
            <v>83732</v>
          </cell>
          <cell r="C128" t="str">
            <v>SINAPI</v>
          </cell>
          <cell r="D128" t="str">
            <v xml:space="preserve"> IMPERMEABILIZACAO DE SUPERFICIE COM ARGAMASSA DE CIMENTO E AREIA, TRACO 1:3, COM ADITIVO IMPERMEABILIZANTE, E=1,5 CM</v>
          </cell>
          <cell r="E128" t="str">
            <v>M²</v>
          </cell>
          <cell r="F128">
            <v>31.68</v>
          </cell>
        </row>
        <row r="129">
          <cell r="B129">
            <v>83733</v>
          </cell>
          <cell r="C129" t="str">
            <v>SINAPI</v>
          </cell>
          <cell r="D129" t="str">
            <v>IMPERMEABILIZACAO DE SUPERFICIE COM ARGAMASSA DE CIMENTO E AREIA (GROSSA), TRACO 1:4, COM ADITIVO IMPERMEABILIZANTE, E=2 CM</v>
          </cell>
          <cell r="E129" t="str">
            <v>M²</v>
          </cell>
          <cell r="F129">
            <v>36.229999999999997</v>
          </cell>
        </row>
        <row r="130">
          <cell r="B130" t="str">
            <v xml:space="preserve">74033/001 </v>
          </cell>
          <cell r="C130" t="str">
            <v>SINAPI</v>
          </cell>
          <cell r="D130" t="str">
            <v>IMPERMEABILIZACAO DE SUPERFICIE COM GEOMEMBRANA (MANTA TERMOPLASTICA LISA) TIPO PEAD, E=2MM.</v>
          </cell>
          <cell r="E130" t="str">
            <v>M²</v>
          </cell>
          <cell r="F130">
            <v>40.130000000000003</v>
          </cell>
        </row>
        <row r="131">
          <cell r="B131">
            <v>1748</v>
          </cell>
          <cell r="C131" t="str">
            <v>SINAPI (INSUMO)</v>
          </cell>
          <cell r="D131" t="str">
            <v>BANCA/PIA DE ACO INOXIDAVEL (AISI 430) COM 1 CUBA CENTRAL, COM VALVULA, ESCORREDOR DUPLO, DE *0,55 X 1,40* M</v>
          </cell>
          <cell r="E131" t="str">
            <v>UN.</v>
          </cell>
          <cell r="F131">
            <v>217.56</v>
          </cell>
        </row>
        <row r="132">
          <cell r="B132">
            <v>390216</v>
          </cell>
          <cell r="C132" t="str">
            <v>CPOS</v>
          </cell>
          <cell r="D132" t="str">
            <v>Cabo de cobre de 2,5 mm², isolamento 750 V - isolação em PVC 70°C COR AZUL</v>
          </cell>
          <cell r="E132" t="str">
            <v>M</v>
          </cell>
          <cell r="F132">
            <v>2.25</v>
          </cell>
        </row>
        <row r="133">
          <cell r="B133">
            <v>390216</v>
          </cell>
          <cell r="C133" t="str">
            <v>CPOS</v>
          </cell>
          <cell r="D133" t="str">
            <v>Cabo de cobre de 2,5 mm², isolamento 750 V - isolação em PVC 70°C COR PRETO</v>
          </cell>
          <cell r="E133" t="str">
            <v>M</v>
          </cell>
          <cell r="F133">
            <v>2.25</v>
          </cell>
        </row>
        <row r="134">
          <cell r="B134">
            <v>390216</v>
          </cell>
          <cell r="C134" t="str">
            <v>CPOS</v>
          </cell>
          <cell r="D134" t="str">
            <v>Cabo de cobre de 2,5 mm², isolamento 750 V - isolação em PVC 70°C COR VERDE</v>
          </cell>
          <cell r="E134" t="str">
            <v>M</v>
          </cell>
          <cell r="F134">
            <v>2.25</v>
          </cell>
        </row>
        <row r="135">
          <cell r="B135">
            <v>390201</v>
          </cell>
          <cell r="C135" t="str">
            <v>CPOS</v>
          </cell>
          <cell r="D135" t="str">
            <v>Cabo de cobre de 1,5 mm², isolamento 750 V - isolação em PVC 70°C  COR BRANCO</v>
          </cell>
          <cell r="E135" t="str">
            <v>M</v>
          </cell>
          <cell r="F135">
            <v>1.62</v>
          </cell>
        </row>
        <row r="136">
          <cell r="B136">
            <v>390201</v>
          </cell>
          <cell r="C136" t="str">
            <v>CPOS</v>
          </cell>
          <cell r="D136" t="str">
            <v>Cabo de cobre de 1,5 mm², isolamento 750 V - isolação em PVC 70°C  COR AMARELO</v>
          </cell>
          <cell r="E136" t="str">
            <v>M</v>
          </cell>
          <cell r="F136">
            <v>1.62</v>
          </cell>
        </row>
        <row r="137">
          <cell r="B137">
            <v>390201</v>
          </cell>
          <cell r="C137" t="str">
            <v>CPOS</v>
          </cell>
          <cell r="D137" t="str">
            <v>Cabo de cobre de 1,5 mm², isolamento 750 V - isolação em PVC 70°C  COR AZUL</v>
          </cell>
          <cell r="E137" t="str">
            <v>M</v>
          </cell>
          <cell r="F137">
            <v>1.62</v>
          </cell>
        </row>
        <row r="138">
          <cell r="B138">
            <v>390201</v>
          </cell>
          <cell r="C138" t="str">
            <v>CPOS</v>
          </cell>
          <cell r="D138" t="str">
            <v>Cabo de cobre de 1,5 mm², isolamento 750 V - isolação em PVC 70°C  COR VERDE</v>
          </cell>
          <cell r="E138" t="str">
            <v>M</v>
          </cell>
          <cell r="F138">
            <v>1.62</v>
          </cell>
        </row>
        <row r="139">
          <cell r="B139">
            <v>390217</v>
          </cell>
          <cell r="C139" t="str">
            <v>CPOS</v>
          </cell>
          <cell r="D139" t="str">
            <v xml:space="preserve">Cabo de cobre de 4 mm², isolamento 750 V - isolação em PVC 70°C COR AZUL </v>
          </cell>
          <cell r="E139" t="str">
            <v>M</v>
          </cell>
          <cell r="F139">
            <v>2.97</v>
          </cell>
        </row>
        <row r="140">
          <cell r="B140">
            <v>390217</v>
          </cell>
          <cell r="C140" t="str">
            <v>CPOS</v>
          </cell>
          <cell r="D140" t="str">
            <v xml:space="preserve">Cabo de cobre de 4 mm², isolamento 750 V - isolação em PVC 70°C COR PRETO </v>
          </cell>
          <cell r="E140" t="str">
            <v>M</v>
          </cell>
          <cell r="F140">
            <v>2.97</v>
          </cell>
        </row>
        <row r="141">
          <cell r="B141">
            <v>390217</v>
          </cell>
          <cell r="C141" t="str">
            <v>CPOS</v>
          </cell>
          <cell r="D141" t="str">
            <v xml:space="preserve">Cabo de cobre de 4 mm², isolamento 750 V - isolação em PVC 70°C COR VERDE </v>
          </cell>
          <cell r="E141" t="str">
            <v>M</v>
          </cell>
          <cell r="F141">
            <v>2.97</v>
          </cell>
        </row>
        <row r="142">
          <cell r="B142">
            <v>390203</v>
          </cell>
          <cell r="C142" t="str">
            <v>CPOS</v>
          </cell>
          <cell r="D142" t="str">
            <v>Cabo de cobre de 6 mm², isolamento 750 V - isolação em PVC 70°C  COR VERDE</v>
          </cell>
          <cell r="E142" t="str">
            <v>M</v>
          </cell>
          <cell r="F142">
            <v>3.78</v>
          </cell>
        </row>
        <row r="143">
          <cell r="B143">
            <v>390203</v>
          </cell>
          <cell r="C143" t="str">
            <v>CPOS</v>
          </cell>
          <cell r="D143" t="str">
            <v>Cabo de cobre de 6 mm², isolamento 750 V - isolação em PVC 70°C  COR AZUL</v>
          </cell>
          <cell r="E143" t="str">
            <v>M</v>
          </cell>
          <cell r="F143">
            <v>3.78</v>
          </cell>
        </row>
        <row r="144">
          <cell r="B144">
            <v>390203</v>
          </cell>
          <cell r="C144" t="str">
            <v>CPOS</v>
          </cell>
          <cell r="D144" t="str">
            <v>Cabo de cobre de 6 mm², isolamento 750 V - isolação em PVC 70°C  COR PRETO</v>
          </cell>
          <cell r="E144" t="str">
            <v>M</v>
          </cell>
          <cell r="F144">
            <v>3.78</v>
          </cell>
        </row>
        <row r="145">
          <cell r="B145">
            <v>83443</v>
          </cell>
          <cell r="C145" t="str">
            <v>SINAPI</v>
          </cell>
          <cell r="D145" t="str">
            <v xml:space="preserve"> CAIXA DE PASSAGEM 20X20X25 FUNDO BRITA COM TAMPA </v>
          </cell>
          <cell r="E145" t="str">
            <v>UN.</v>
          </cell>
          <cell r="F145">
            <v>44.23</v>
          </cell>
        </row>
        <row r="146">
          <cell r="B146">
            <v>411306</v>
          </cell>
          <cell r="C146" t="str">
            <v>CPOS</v>
          </cell>
          <cell r="D146" t="str">
            <v>Luminária blindada de sobrepor ou pendente em calha fechada para 4 lâmpadas fluorescentes de 32/36/40W</v>
          </cell>
          <cell r="E146" t="str">
            <v>UN.</v>
          </cell>
          <cell r="F146">
            <v>209.96</v>
          </cell>
        </row>
        <row r="147">
          <cell r="B147" t="str">
            <v xml:space="preserve">74041/002 </v>
          </cell>
          <cell r="C147" t="str">
            <v>SINAPI</v>
          </cell>
          <cell r="D147" t="str">
            <v xml:space="preserve">LUMINARIA GLOBO VIDRO LEITOSO/PLAFONIER/BOCAL/LAMPADA FLUORESCENTE 40W </v>
          </cell>
          <cell r="E147" t="str">
            <v>UN.</v>
          </cell>
          <cell r="F147">
            <v>63</v>
          </cell>
        </row>
        <row r="148">
          <cell r="B148">
            <v>72315</v>
          </cell>
          <cell r="C148" t="str">
            <v>SINAPI</v>
          </cell>
          <cell r="D148" t="str">
            <v xml:space="preserve">TERMINAL AEREO EM ACO GALVANIZADO COM BASE DE FIXACAO H = 30CM </v>
          </cell>
          <cell r="E148" t="str">
            <v>UN.</v>
          </cell>
          <cell r="F148">
            <v>25.6</v>
          </cell>
        </row>
        <row r="149">
          <cell r="B149">
            <v>93009</v>
          </cell>
          <cell r="C149" t="str">
            <v>SINAPI</v>
          </cell>
          <cell r="D149" t="str">
            <v>ELETRODUTO RÍGIDO ROSCÁVEL, PVC, DN 60 MM (2") - FORNECIMENTO E INSTALAÇÃO. AF_12/2015</v>
          </cell>
          <cell r="E149" t="str">
            <v>M</v>
          </cell>
          <cell r="F149">
            <v>13.45</v>
          </cell>
        </row>
        <row r="150">
          <cell r="B150">
            <v>90082</v>
          </cell>
          <cell r="C150" t="str">
            <v>SINAPI</v>
          </cell>
          <cell r="D150" t="str">
            <v>ESCAVAÇÃO MECANIZADA DE VALA COM PROF. ATÉ 1,5 M (MÉDIA ENTRE MONTANTE E JUSANTE/UMA COMPOSIÇÃO POR TRECHO), COM ESCAVADEIRA HIDRÁULICA (0,8M3/111 HP), LARG. DE 1,5 M A 2,5 M, EM SOLO DE 1A CATEGORIA, EM LOCAIS COM ALTO NÍVEL DE INTERFERÊNCIA. AF_01/2015</v>
          </cell>
          <cell r="E150" t="str">
            <v>M³</v>
          </cell>
          <cell r="F150">
            <v>12.82</v>
          </cell>
        </row>
        <row r="151">
          <cell r="B151">
            <v>90084</v>
          </cell>
          <cell r="C151" t="str">
            <v>SINAPI</v>
          </cell>
          <cell r="D151" t="str">
            <v>ESCAVAÇÃO MECANIZADA DE VALA COM PROF. MAIOR QUE 1,5 M ATÉ 3,0 M (MÉDIA ENTRE MONTANTE E JUSANTE/UMA COMPOSIÇÃO POR TRECHO), COM ESCAVADEIRA HIDRÁULICA (0,8 M3/111 HP), LARGURA ATÉ 1,5 M, EM SOLO DE 1A CATEGORIA, EM LOCAIS COM ALTO NÍVEL DE INTERFERÊNCIA. AF_01/2015</v>
          </cell>
          <cell r="E151" t="str">
            <v>M³</v>
          </cell>
          <cell r="F151">
            <v>11.27</v>
          </cell>
        </row>
        <row r="152">
          <cell r="B152">
            <v>90086</v>
          </cell>
          <cell r="C152" t="str">
            <v>SINAPI</v>
          </cell>
          <cell r="D152"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E152" t="str">
            <v>M³</v>
          </cell>
          <cell r="F152">
            <v>8.6999999999999993</v>
          </cell>
        </row>
        <row r="153">
          <cell r="B153">
            <v>90088</v>
          </cell>
          <cell r="C153" t="str">
            <v>SINAPI</v>
          </cell>
          <cell r="D153"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E153" t="str">
            <v>M³</v>
          </cell>
          <cell r="F153">
            <v>5.85</v>
          </cell>
        </row>
        <row r="154">
          <cell r="B154">
            <v>370</v>
          </cell>
          <cell r="C154" t="str">
            <v>SINAPI (INSUMO)</v>
          </cell>
          <cell r="D154" t="str">
            <v xml:space="preserve">AREIA MEDIA - POSTO JAZIDA/FORNECEDOR (RETIRADO NA JAZIDA, SEM TRANSPORTE) </v>
          </cell>
          <cell r="E154" t="str">
            <v>M³</v>
          </cell>
          <cell r="F154">
            <v>62.75</v>
          </cell>
        </row>
        <row r="155">
          <cell r="B155">
            <v>6111</v>
          </cell>
          <cell r="C155" t="str">
            <v>SINAPI (INSUMO)</v>
          </cell>
          <cell r="D155" t="str">
            <v xml:space="preserve">SERVENTE </v>
          </cell>
          <cell r="E155" t="str">
            <v>H</v>
          </cell>
          <cell r="F155">
            <v>12.02</v>
          </cell>
        </row>
        <row r="156">
          <cell r="B156" t="str">
            <v xml:space="preserve">74202/001 </v>
          </cell>
          <cell r="C156" t="str">
            <v>SINAPI</v>
          </cell>
          <cell r="D156" t="str">
            <v>LAJE PRE-MOLDADA P/FORRO, SOBRECARGA 100KG/M2, VAOS ATE 3,50M/E=8CM, C/LAJOTAS E CAP.C/CONC FCK=20MPA, 3CM, INTER-EIXO 38CM, C/ESCORAMENTO (REAPR.3X) E FERRAGEM NEGATIVA</v>
          </cell>
          <cell r="E156" t="str">
            <v>M²</v>
          </cell>
          <cell r="F156">
            <v>59.9</v>
          </cell>
        </row>
        <row r="157">
          <cell r="B157">
            <v>141123</v>
          </cell>
          <cell r="C157" t="str">
            <v>CPOS</v>
          </cell>
          <cell r="D157" t="str">
            <v>Alvenaria de bloco de concreto estrutural, uso revestido, de 19 cm</v>
          </cell>
          <cell r="E157" t="str">
            <v>M²</v>
          </cell>
          <cell r="F157">
            <v>63.81</v>
          </cell>
        </row>
        <row r="158">
          <cell r="B158">
            <v>142504</v>
          </cell>
          <cell r="C158" t="str">
            <v>CPOS</v>
          </cell>
          <cell r="D158" t="str">
            <v xml:space="preserve">Alvenaria em bloco de vidro com armação </v>
          </cell>
          <cell r="E158" t="str">
            <v>M²</v>
          </cell>
          <cell r="F158">
            <v>506.45</v>
          </cell>
        </row>
        <row r="159">
          <cell r="B159" t="str">
            <v xml:space="preserve">74220/001 </v>
          </cell>
          <cell r="C159" t="str">
            <v>SINAPI</v>
          </cell>
          <cell r="D159" t="str">
            <v>TAPUME DE CHAPA DE MADEIRA COMPENSADA, E= 6MM, COM PINTURA A CAL E REAPROVEITAMENTO DE 2X</v>
          </cell>
          <cell r="E159" t="str">
            <v>M²</v>
          </cell>
          <cell r="F159">
            <v>52.99</v>
          </cell>
        </row>
        <row r="160">
          <cell r="B160">
            <v>94050</v>
          </cell>
          <cell r="C160" t="str">
            <v>SINAPI</v>
          </cell>
          <cell r="D160" t="str">
            <v xml:space="preserve"> ESCORAMENTO DE VALA, TIPO DESCONTÍNUO, COM PROFUNDIDADE DE 0 A 1,5 M, LARGURA MAIOR OU IGUAL A 1,5 M E MENOR QUE 2,5 M, EM LOCAL COM NÍVEL ALTO DE INTERFERÊNCIA. AF_06/2016</v>
          </cell>
          <cell r="E160" t="str">
            <v>M²</v>
          </cell>
          <cell r="F160">
            <v>30.61</v>
          </cell>
        </row>
        <row r="161">
          <cell r="B161">
            <v>90812</v>
          </cell>
          <cell r="C161" t="str">
            <v>SINAPI</v>
          </cell>
          <cell r="D161" t="str">
            <v>ESTACA HÉLICE CONTÍNUA, DIÂMETRO DE 70 CM, COMPRIMENTO TOTAL ATÉ 15 M, PERFURATRIZ COM TORQUE DE 170 KN.M (EXCLUSIVE MOBILIZAÇÃO E DESMOBILIZAÇÃO). AF_02/2015</v>
          </cell>
          <cell r="E161" t="str">
            <v>M</v>
          </cell>
          <cell r="F161">
            <v>206.92</v>
          </cell>
        </row>
        <row r="162">
          <cell r="B162">
            <v>110512</v>
          </cell>
          <cell r="C162" t="str">
            <v>CPOS</v>
          </cell>
          <cell r="D162" t="str">
            <v xml:space="preserve">Execução de concreto projetado - consumo de cimento 350 kg/m³ </v>
          </cell>
          <cell r="E162" t="str">
            <v>M³</v>
          </cell>
          <cell r="F162">
            <v>1916.85</v>
          </cell>
        </row>
        <row r="163">
          <cell r="B163">
            <v>92265</v>
          </cell>
          <cell r="C163" t="str">
            <v>SINAPI</v>
          </cell>
          <cell r="D163" t="str">
            <v>FABRICAÇÃO DE FÔRMA PARA VIGAS, EM CHAPA DE MADEIRA COMPENSADA RESINADA, E = 17 MM. AF_12/2015</v>
          </cell>
          <cell r="E163" t="str">
            <v>M²</v>
          </cell>
          <cell r="F163">
            <v>61.61</v>
          </cell>
        </row>
        <row r="164">
          <cell r="B164">
            <v>150102</v>
          </cell>
          <cell r="C164" t="str">
            <v>CPOS</v>
          </cell>
          <cell r="D164" t="str">
            <v>Estrutura de madeira tesourada para telha de barro - vãos de 7,01 a 10,00 m</v>
          </cell>
          <cell r="E164" t="str">
            <v>M²</v>
          </cell>
          <cell r="F164">
            <v>84.26</v>
          </cell>
        </row>
        <row r="165">
          <cell r="B165">
            <v>380114</v>
          </cell>
          <cell r="C165" t="str">
            <v>CPOS</v>
          </cell>
          <cell r="D165" t="str">
            <v xml:space="preserve">Eletroduto de PVC rígido roscável de 2 1/2´ - com acessórios </v>
          </cell>
          <cell r="E165" t="str">
            <v>M</v>
          </cell>
          <cell r="F165">
            <v>45.03</v>
          </cell>
        </row>
        <row r="166">
          <cell r="B166">
            <v>380108</v>
          </cell>
          <cell r="C166" t="str">
            <v>CPOS</v>
          </cell>
          <cell r="D166" t="str">
            <v>Eletroduto de PVC rígido roscável de 1 1/4´ - com acessórios</v>
          </cell>
          <cell r="E166" t="str">
            <v>M</v>
          </cell>
          <cell r="F166">
            <v>24.31</v>
          </cell>
        </row>
        <row r="167">
          <cell r="B167">
            <v>72110</v>
          </cell>
          <cell r="C167" t="str">
            <v>SINAPI</v>
          </cell>
          <cell r="D167" t="str">
            <v>ESTRUTURA METALICA EM TESOURAS OU TRELICAS, VAO LIVRE DE 12M, FORNECIMENTO E MONTAGEM, NAO SENDO CONSIDERADOS OS FECHAMENTOS METALICOS, AS COLUNAS, OS SERVICOS GERAIS EM ALVENARIA E CONCRETO, AS TELHAS DE COBERTURA E A PINTURA DE ACABAMENTO</v>
          </cell>
          <cell r="E167" t="str">
            <v>M²</v>
          </cell>
          <cell r="F167">
            <v>61.86</v>
          </cell>
        </row>
        <row r="168">
          <cell r="B168">
            <v>240206</v>
          </cell>
          <cell r="C168" t="str">
            <v>CPOS</v>
          </cell>
          <cell r="D168" t="str">
            <v xml:space="preserve">Porta/portão de abrir em chapa, sob medida </v>
          </cell>
          <cell r="E168" t="str">
            <v>M²</v>
          </cell>
          <cell r="F168">
            <v>580.57000000000005</v>
          </cell>
        </row>
        <row r="169">
          <cell r="B169">
            <v>90408</v>
          </cell>
          <cell r="C169" t="str">
            <v>SINAPI</v>
          </cell>
          <cell r="D169" t="str">
            <v>MASSA ÚNICA, PARA RECEBIMENTO DE PINTURA, EM ARGAMASSA TRAÇO 1:2:8, PREPARO MECÂNICO COM BETONEIRA 400L, APLICADA MANUALMENTE EM TETO, ESPESSURA DE 10MM, COM EXECUÇÃO DE TALISCAS. AF_03/2015</v>
          </cell>
          <cell r="E169" t="str">
            <v>M²</v>
          </cell>
          <cell r="F169">
            <v>23.78</v>
          </cell>
        </row>
        <row r="170">
          <cell r="B170" t="str">
            <v xml:space="preserve">74190/001 </v>
          </cell>
          <cell r="C170" t="str">
            <v>SINAPI</v>
          </cell>
          <cell r="D170" t="str">
            <v>IMPERMEABILIZACAO DE SUPERFICIE COM MASTIQUE BETUMINOSO A FRIO, POR AREA.</v>
          </cell>
          <cell r="E170" t="str">
            <v>M²</v>
          </cell>
          <cell r="F170">
            <v>154.01</v>
          </cell>
        </row>
        <row r="171">
          <cell r="B171" t="str">
            <v xml:space="preserve">73753/001 </v>
          </cell>
          <cell r="C171" t="str">
            <v>SINAPI</v>
          </cell>
          <cell r="D171" t="str">
            <v>IMPERMEABILIZACAO DE SUPERFICIE COM MANTA ASFALTICA PROTEGIDA COM FILME DE ALUMINIO GOFRADO (DE ESPESSURA 0,8MM), INCLUSA APLICACAO DE EMULSAO ASFALTICA, E=3MM.</v>
          </cell>
          <cell r="E171" t="str">
            <v>M²</v>
          </cell>
          <cell r="F171">
            <v>85.69</v>
          </cell>
        </row>
        <row r="172">
          <cell r="B172">
            <v>72118</v>
          </cell>
          <cell r="C172" t="str">
            <v>SINAPI</v>
          </cell>
          <cell r="D172" t="str">
            <v>VIDRO TEMPERADO INCOLOR, ESPESSURA 6MM, FORNECIMENTO E INSTALACAO, INCLUSIVE MASSA PARA VEDACAO</v>
          </cell>
          <cell r="E172" t="str">
            <v>M²</v>
          </cell>
          <cell r="F172">
            <v>185.3</v>
          </cell>
        </row>
        <row r="173">
          <cell r="B173">
            <v>68053</v>
          </cell>
          <cell r="C173" t="str">
            <v>SINAPI</v>
          </cell>
          <cell r="D173" t="str">
            <v>FORNECIMENTO/INSTALACAO LONA PLASTICA PRETA, PARA IMPERMEABILIZACAO, ESPESSURA 150 MICRAS.</v>
          </cell>
          <cell r="E173" t="str">
            <v>M²</v>
          </cell>
          <cell r="F173">
            <v>5.15</v>
          </cell>
        </row>
        <row r="174">
          <cell r="B174">
            <v>86931</v>
          </cell>
          <cell r="C174" t="str">
            <v>SINAPI</v>
          </cell>
          <cell r="D174" t="str">
            <v>VASO SANITÁRIO SIFONADO COM CAIXA ACOPLADA LOUÇA BRANCA, INCLUSO ENGATE FLEXÍVEL EM PLÁSTICO BRANCO, 1/2 X 40CM - FORNECIMENTO E INSTALAÇÃO. AF_12/2013</v>
          </cell>
          <cell r="E174" t="str">
            <v>UN.</v>
          </cell>
          <cell r="F174">
            <v>402.84</v>
          </cell>
        </row>
        <row r="175">
          <cell r="B175">
            <v>9535</v>
          </cell>
          <cell r="C175" t="str">
            <v>SINAPI</v>
          </cell>
          <cell r="D175" t="str">
            <v>CHUVEIRO ELETRICO COMUM CORPO PLASTICO TIPO DUCHA, FORNECIMENTO E INSTALACAO</v>
          </cell>
          <cell r="E175" t="str">
            <v>UN.</v>
          </cell>
          <cell r="F175">
            <v>61.45</v>
          </cell>
        </row>
        <row r="176">
          <cell r="B176">
            <v>1748</v>
          </cell>
          <cell r="C176" t="str">
            <v>SINAPI (INSUMO)</v>
          </cell>
          <cell r="D176" t="str">
            <v>BANCA/PIA DE ACO INOXIDAVEL (AISI 430) COM 1 CUBA CENTRAL, COM VALVULA, ESCORREDOR DUPLO, DE *0,55 X 1,40* M</v>
          </cell>
          <cell r="E176" t="str">
            <v>UN.</v>
          </cell>
          <cell r="F176">
            <v>217.56</v>
          </cell>
        </row>
        <row r="177">
          <cell r="B177">
            <v>86912</v>
          </cell>
          <cell r="C177" t="str">
            <v>SINAPI</v>
          </cell>
          <cell r="D177" t="str">
            <v>TORNEIRA CROMADA LONGA, DE PAREDE, 1/2" OU 3/4", PARA PIA DE COZINHA, PADRÃO MÉDIO - FORNECIMENTO E INSTALAÇÃO. AF_12/2013</v>
          </cell>
          <cell r="E177" t="str">
            <v>UN.</v>
          </cell>
          <cell r="F177">
            <v>36.299999999999997</v>
          </cell>
        </row>
        <row r="178">
          <cell r="B178">
            <v>73610</v>
          </cell>
          <cell r="C178" t="str">
            <v>SINAPI</v>
          </cell>
          <cell r="D178" t="str">
            <v>LOCAÇÃO DE REDES DE ÁGUA OU DE ESGOTO</v>
          </cell>
          <cell r="E178" t="str">
            <v>M</v>
          </cell>
          <cell r="F178">
            <v>0.92</v>
          </cell>
        </row>
        <row r="179">
          <cell r="B179" t="str">
            <v xml:space="preserve">74104/001 </v>
          </cell>
          <cell r="C179" t="str">
            <v>SINAPI</v>
          </cell>
          <cell r="D179" t="str">
            <v>CAIXA DE INSPEÇÃO EM ALVENARIA DE TIJOLO MACIÇO 60X60X60CM, REVESTIDA INTERNAMENTO COM BARRA LISA (CIMENTO E AREIA, TRAÇO 1:4) E=2,0CM, COM TAMPA PRÉ-MOLDADA DE CONCRETO E FUNDO DE CONCRETO 15MPA TIPO C - ESCAVAÇÃO E CONFECÇÃO</v>
          </cell>
          <cell r="E179" t="str">
            <v>UN.</v>
          </cell>
          <cell r="F179">
            <v>138.68</v>
          </cell>
        </row>
        <row r="180">
          <cell r="B180">
            <v>368</v>
          </cell>
          <cell r="C180" t="str">
            <v>SINAPI (INSUMO)</v>
          </cell>
          <cell r="D180" t="str">
            <v>AREIA PARA ATERRO - POSTO JAZIDA/FORNECEDOR (RETIRADO NA JAZIDA, SEM TRANSPORTE)</v>
          </cell>
          <cell r="E180" t="str">
            <v>M³</v>
          </cell>
          <cell r="F180">
            <v>45.56</v>
          </cell>
        </row>
        <row r="181">
          <cell r="B181" t="str">
            <v xml:space="preserve">73888/002 </v>
          </cell>
          <cell r="C181" t="str">
            <v>SINAPI</v>
          </cell>
          <cell r="D181" t="str">
            <v>ASSENTAMENTO TUBO PVC COM JUNTA ELASTICA, DN 75 MM - (OU RPVC, OU PVC DEFOFO, OU PRFV) - PARA AGUA.</v>
          </cell>
          <cell r="E181" t="str">
            <v>M</v>
          </cell>
          <cell r="F181">
            <v>2.34</v>
          </cell>
        </row>
        <row r="182">
          <cell r="B182" t="str">
            <v xml:space="preserve">73888/001 </v>
          </cell>
          <cell r="C182" t="str">
            <v>SINAPI</v>
          </cell>
          <cell r="D182" t="str">
            <v>ASSENTAMENTO TUBO PVC COM JUNTA ELASTICA, DN 50 MM - (OU RPVC, OU PVC DEFOFO, OU PRFV) - PARA AGUA.</v>
          </cell>
          <cell r="E182" t="str">
            <v>M</v>
          </cell>
          <cell r="F182">
            <v>1.75</v>
          </cell>
        </row>
        <row r="183">
          <cell r="B183">
            <v>20204</v>
          </cell>
          <cell r="C183" t="str">
            <v>CPOS</v>
          </cell>
          <cell r="D183" t="str">
            <v xml:space="preserve">Container sanitário - mínimo 2 duchas, 2 bacias, 1 lavatório e 1 mictório </v>
          </cell>
          <cell r="E183" t="str">
            <v>UN.XMÊS</v>
          </cell>
          <cell r="F183">
            <v>390.6</v>
          </cell>
        </row>
        <row r="184">
          <cell r="B184">
            <v>93584</v>
          </cell>
          <cell r="C184" t="str">
            <v>SINAPI</v>
          </cell>
          <cell r="D184" t="str">
            <v>EXECUÇÃO DE DEPÓSITO EM CANTEIRO DE OBRA EM CHAPA DE MADEIRA COMPENSADA, NÃO INCLUSO MOBILIÁRIO. AF_04/2016</v>
          </cell>
          <cell r="E184" t="str">
            <v>M²</v>
          </cell>
          <cell r="F184">
            <v>475.27</v>
          </cell>
        </row>
        <row r="185">
          <cell r="B185">
            <v>93206</v>
          </cell>
          <cell r="C185" t="str">
            <v>SINAPI</v>
          </cell>
          <cell r="D185" t="str">
            <v>EXECUÇÃO DE ESCRITÓRIO EM CANTEIRO DE OBRA EM ALVENARIA, NÃO INCLUSO MOBILIÁRIO E EQUIPAMENTOS. AF_02/2016</v>
          </cell>
          <cell r="E185" t="str">
            <v>M²</v>
          </cell>
          <cell r="F185">
            <v>777.39</v>
          </cell>
        </row>
        <row r="186">
          <cell r="B186">
            <v>83450</v>
          </cell>
          <cell r="C186" t="str">
            <v>SINAPI</v>
          </cell>
          <cell r="D186" t="str">
            <v xml:space="preserve">CAIXA DE PASSAGEM 80X80X62 FUNDO BRITA COM TAMPA </v>
          </cell>
          <cell r="E186" t="str">
            <v>UN.</v>
          </cell>
          <cell r="F186">
            <v>400.15</v>
          </cell>
        </row>
        <row r="187">
          <cell r="B187">
            <v>6166</v>
          </cell>
          <cell r="C187" t="str">
            <v>SINAPI (INSUMO)</v>
          </cell>
          <cell r="D187" t="str">
            <v>SOLDADOR A (PARA SOLDA A SER TESTADA COM RAIOS "X"</v>
          </cell>
          <cell r="E187" t="str">
            <v>H</v>
          </cell>
          <cell r="F187">
            <v>25.6</v>
          </cell>
        </row>
        <row r="188">
          <cell r="B188">
            <v>25957</v>
          </cell>
          <cell r="C188" t="str">
            <v>SINAPI (INSUMO)</v>
          </cell>
          <cell r="D188" t="str">
            <v xml:space="preserve"> MONTADOR DE ESTRUTURA METALICA </v>
          </cell>
          <cell r="E188" t="str">
            <v>H</v>
          </cell>
          <cell r="F188">
            <v>12.56</v>
          </cell>
        </row>
        <row r="189">
          <cell r="B189">
            <v>25958</v>
          </cell>
          <cell r="C189" t="str">
            <v>SINAPI (INSUMO)</v>
          </cell>
          <cell r="D189" t="str">
            <v xml:space="preserve">AJUDANTE DE ESTRUTURA METALICA </v>
          </cell>
          <cell r="E189" t="str">
            <v>H</v>
          </cell>
          <cell r="F189">
            <v>7.95</v>
          </cell>
        </row>
        <row r="190">
          <cell r="B190">
            <v>230203</v>
          </cell>
          <cell r="C190" t="str">
            <v>CPOS</v>
          </cell>
          <cell r="D190" t="str">
            <v xml:space="preserve">Porta macho e fêmea com batente de madeira - 72 x 210 cm </v>
          </cell>
          <cell r="E190" t="str">
            <v>UN.</v>
          </cell>
          <cell r="F190">
            <v>634.41999999999996</v>
          </cell>
        </row>
        <row r="191">
          <cell r="B191">
            <v>190309</v>
          </cell>
          <cell r="C191" t="str">
            <v>CPOS</v>
          </cell>
          <cell r="D191" t="str">
            <v xml:space="preserve">Revestimento em pedra miracema  </v>
          </cell>
          <cell r="E191" t="str">
            <v>M²</v>
          </cell>
          <cell r="F191">
            <v>66.78</v>
          </cell>
        </row>
        <row r="192">
          <cell r="B192">
            <v>150102</v>
          </cell>
          <cell r="C192" t="str">
            <v>CPOS</v>
          </cell>
          <cell r="D192" t="str">
            <v>Estrutura de madeira tesourada para telha de barro - vãos de 7,01 a 10,00 m</v>
          </cell>
          <cell r="E192" t="str">
            <v>M²</v>
          </cell>
          <cell r="F192">
            <v>84.26</v>
          </cell>
        </row>
        <row r="193">
          <cell r="B193">
            <v>94213</v>
          </cell>
          <cell r="C193" t="str">
            <v>SINAPI</v>
          </cell>
          <cell r="D193" t="str">
            <v>TELHAMENTO COM TELHA DE AÇO/ALUMÍNIO E = 0,5 MM, COM ATÉ 2 ÁGUAS, INCLUSO IÇAMENTO. AF_06/2016</v>
          </cell>
          <cell r="E193" t="str">
            <v>M²</v>
          </cell>
          <cell r="F193">
            <v>37.729999999999997</v>
          </cell>
        </row>
        <row r="194">
          <cell r="B194">
            <v>381502</v>
          </cell>
          <cell r="C194" t="str">
            <v>CPOS</v>
          </cell>
          <cell r="D194" t="str">
            <v xml:space="preserve">Eletroduto metálico flexível com capa em PVC de 1´ </v>
          </cell>
          <cell r="E194" t="str">
            <v>M</v>
          </cell>
          <cell r="F194">
            <v>16.75</v>
          </cell>
        </row>
        <row r="195">
          <cell r="B195">
            <v>381503</v>
          </cell>
          <cell r="C195" t="str">
            <v>CPOS</v>
          </cell>
          <cell r="D195" t="str">
            <v xml:space="preserve">Eletroduto metálico flexível com capa em PVC de 1 1/2´ </v>
          </cell>
          <cell r="E195" t="str">
            <v>M</v>
          </cell>
          <cell r="F195">
            <v>23.67</v>
          </cell>
        </row>
        <row r="196">
          <cell r="B196">
            <v>80102</v>
          </cell>
          <cell r="C196" t="str">
            <v>CPOS</v>
          </cell>
          <cell r="D196" t="str">
            <v xml:space="preserve">Escoramento de solo contínuo </v>
          </cell>
          <cell r="E196" t="str">
            <v>M²</v>
          </cell>
          <cell r="F196">
            <v>47.53</v>
          </cell>
        </row>
        <row r="197">
          <cell r="B197">
            <v>89993</v>
          </cell>
          <cell r="C197" t="str">
            <v>SINAPI</v>
          </cell>
          <cell r="D197" t="str">
            <v xml:space="preserve">GRAUTEAMENTO VERTICAL EM ALVENARIA ESTRUTURAL. AF_01/2015 </v>
          </cell>
          <cell r="E197" t="str">
            <v>M³</v>
          </cell>
          <cell r="F197">
            <v>580.12</v>
          </cell>
        </row>
        <row r="204">
          <cell r="B204">
            <v>21129</v>
          </cell>
          <cell r="C204" t="str">
            <v>SINAPI (INSUMO)</v>
          </cell>
          <cell r="D204" t="str">
            <v>ELETRODUTO EM ACO GALVANIZADO ELETROLITICO, LEVE, DIAMETRO 1/2", PAREDE DE 0,90 MM</v>
          </cell>
          <cell r="E204" t="str">
            <v>M</v>
          </cell>
          <cell r="F204">
            <v>4.32</v>
          </cell>
        </row>
        <row r="205">
          <cell r="B205">
            <v>21132</v>
          </cell>
          <cell r="C205" t="str">
            <v>SINAPI (INSUMO)</v>
          </cell>
          <cell r="D205" t="str">
            <v>ELETRODUTO EM ACO GALVANIZADO ELETROLITICO, PESADO, DIAMETRO 4", PAREDE DE 2,25 MM</v>
          </cell>
          <cell r="E205" t="str">
            <v>M</v>
          </cell>
          <cell r="F205">
            <v>55.71</v>
          </cell>
        </row>
        <row r="206">
          <cell r="B206">
            <v>2446</v>
          </cell>
          <cell r="C206" t="str">
            <v>SINAPI (INSUMO)</v>
          </cell>
          <cell r="D206" t="str">
            <v>ELETRODUTO 2" TIPO KANALEX OU EQUIVALENTE</v>
          </cell>
          <cell r="E206" t="str">
            <v>M</v>
          </cell>
          <cell r="F206">
            <v>8.3000000000000007</v>
          </cell>
        </row>
        <row r="207">
          <cell r="B207">
            <v>2668</v>
          </cell>
          <cell r="C207" t="str">
            <v>SINAPI (INSUMO)</v>
          </cell>
          <cell r="D207" t="str">
            <v xml:space="preserve">TAMPAO/TERMINAL 2" P/ DUTOS TP KANAFLEX </v>
          </cell>
          <cell r="E207" t="str">
            <v>UN.</v>
          </cell>
          <cell r="F207">
            <v>3.54</v>
          </cell>
        </row>
        <row r="208">
          <cell r="B208">
            <v>2662</v>
          </cell>
          <cell r="C208" t="str">
            <v>SINAPI (INSUMO)</v>
          </cell>
          <cell r="D208" t="str">
            <v xml:space="preserve">TAMPAO/TERMINAL 4" P/ DUTOS TP KANAFLEX </v>
          </cell>
          <cell r="E208" t="str">
            <v>UN.</v>
          </cell>
          <cell r="F208">
            <v>9.8000000000000007</v>
          </cell>
        </row>
        <row r="209">
          <cell r="B209">
            <v>11272</v>
          </cell>
          <cell r="C209" t="str">
            <v>SINAPI (INSUMO)</v>
          </cell>
          <cell r="D209" t="str">
            <v>ALCA PREFORMADA DE DISTRIBUICAO, EM ACO GALVANIZADO, PARA CONDUTORES DE ALUMINIO AWG 2 (CAA 6/1 OU CA 7 FIOS)</v>
          </cell>
          <cell r="E209" t="str">
            <v>UN.</v>
          </cell>
          <cell r="F209">
            <v>3.82</v>
          </cell>
        </row>
        <row r="210">
          <cell r="B210">
            <v>25003</v>
          </cell>
          <cell r="C210" t="str">
            <v>SINAPI (INSUMO)</v>
          </cell>
          <cell r="D210" t="str">
            <v>CABO DE ALUMINIO NU SEM ALMA DE ACO, BITOLA 2 AWG</v>
          </cell>
          <cell r="E210" t="str">
            <v>KG</v>
          </cell>
          <cell r="F210">
            <v>23.18</v>
          </cell>
        </row>
        <row r="211">
          <cell r="B211">
            <v>5047</v>
          </cell>
          <cell r="C211" t="str">
            <v>SINAPI (INSUMO)</v>
          </cell>
          <cell r="D211" t="str">
            <v xml:space="preserve">CHAVE FUSIVEL DE DISTRIBUICAO 15,0KV/100A </v>
          </cell>
          <cell r="E211" t="str">
            <v>UN.</v>
          </cell>
          <cell r="F211">
            <v>253.37</v>
          </cell>
        </row>
        <row r="212">
          <cell r="B212">
            <v>13343</v>
          </cell>
          <cell r="C212" t="str">
            <v>SINAPI (INSUMO)</v>
          </cell>
          <cell r="D212" t="str">
            <v>KIT DE MATERIAIS PARA BRACADEIRA PARA FIXACAO EM POSTE CIRCULAR, CONTEM TRES FIXADORES E UM ROLO DE FITA DE 3 M EM ACO CARBONO</v>
          </cell>
          <cell r="E212" t="str">
            <v>UN.</v>
          </cell>
          <cell r="F212">
            <v>30.08</v>
          </cell>
        </row>
        <row r="213">
          <cell r="B213">
            <v>10510</v>
          </cell>
          <cell r="C213" t="str">
            <v>SINAPI (INSUMO)</v>
          </cell>
          <cell r="D213" t="str">
            <v>CRUZETA DE EUCALIPTO TRATADO, OU EQUIVALENTE DA REGIAO, *2,4* M, SECAO *9 X 11,5*CM</v>
          </cell>
          <cell r="E213" t="str">
            <v>UN.</v>
          </cell>
          <cell r="F213">
            <v>65.62</v>
          </cell>
        </row>
        <row r="214">
          <cell r="B214">
            <v>3405</v>
          </cell>
          <cell r="C214" t="str">
            <v>SINAPI (INSUMO)</v>
          </cell>
          <cell r="D214" t="str">
            <v>ISOLADOR DE PORCELANA SUSPENSO, DISCO TIPO GARFO OLHAL, DIAMETRO DE 152 MM, PARA TENSAO DE *15* KV</v>
          </cell>
          <cell r="E214" t="str">
            <v>UN.</v>
          </cell>
          <cell r="F214">
            <v>72.819999999999993</v>
          </cell>
        </row>
        <row r="215">
          <cell r="B215">
            <v>4273</v>
          </cell>
          <cell r="C215" t="str">
            <v>SINAPI (INSUMO)</v>
          </cell>
          <cell r="D215" t="str">
            <v>PARA-RAIOS DE DISTRIBUICAO, TENSAO NOMINAL 30 KV, CORRENTE NOMINAL DE DESCARGA 10 KA</v>
          </cell>
          <cell r="E215" t="str">
            <v>UN.</v>
          </cell>
          <cell r="F215">
            <v>267.98</v>
          </cell>
        </row>
        <row r="216">
          <cell r="B216">
            <v>985</v>
          </cell>
          <cell r="C216" t="str">
            <v>SINAPI (INSUMO)</v>
          </cell>
          <cell r="D216" t="str">
            <v>CABO DE COBRE, RIGIDO, CLASSE 2, ISOLACAO EM PVC/A, ANTICHAMA BWF-B, 1 CONDUTOR, 450/750 V, SECAO NOMINAL 10 MM2</v>
          </cell>
          <cell r="E216" t="str">
            <v>M</v>
          </cell>
          <cell r="F216">
            <v>4.43</v>
          </cell>
        </row>
        <row r="217">
          <cell r="B217">
            <v>1878</v>
          </cell>
          <cell r="C217" t="str">
            <v>SINAPI (INSUMO)</v>
          </cell>
          <cell r="D217" t="str">
            <v>CURVA 90 GRAUS, LONGA, DE PVC RIGIDO ROSCAVEL, DE 4", PARA ELETRODUTO</v>
          </cell>
          <cell r="E217" t="str">
            <v>UN.</v>
          </cell>
          <cell r="F217">
            <v>31.48</v>
          </cell>
        </row>
        <row r="218">
          <cell r="B218">
            <v>2683</v>
          </cell>
          <cell r="C218" t="str">
            <v>SINAPI (INSUMO)</v>
          </cell>
          <cell r="D218" t="str">
            <v>ELETRODUTO DE PVC RIGIDO ROSCAVEL DE 4 ", SEM LUVA</v>
          </cell>
          <cell r="E218" t="str">
            <v>M</v>
          </cell>
          <cell r="F218">
            <v>22.4</v>
          </cell>
        </row>
        <row r="219">
          <cell r="B219">
            <v>1895</v>
          </cell>
          <cell r="C219" t="str">
            <v>SINAPI (INSUMO)</v>
          </cell>
          <cell r="D219" t="str">
            <v xml:space="preserve"> LUVA EM PVC RIGIDO ROSCAVEL, DE 4", PARA ELETRODUTO </v>
          </cell>
          <cell r="E219" t="str">
            <v>UN.</v>
          </cell>
          <cell r="F219">
            <v>17.89</v>
          </cell>
        </row>
        <row r="220">
          <cell r="B220">
            <v>5077</v>
          </cell>
          <cell r="C220" t="str">
            <v>SINAPI (INSUMO)</v>
          </cell>
          <cell r="D220" t="str">
            <v xml:space="preserve">GRAMPO DE ACO POLIDO 7/8 " X 9 </v>
          </cell>
          <cell r="E220" t="str">
            <v>KG</v>
          </cell>
          <cell r="F220">
            <v>6.9</v>
          </cell>
        </row>
        <row r="221">
          <cell r="B221">
            <v>442</v>
          </cell>
          <cell r="C221" t="str">
            <v>SINAPI (INSUMO)</v>
          </cell>
          <cell r="D221" t="str">
            <v>PARAFUSO FRANCES M16 EM ACO GALVANIZADO, COMPRIMENTO = 45 MM, DIAMETRO = 16MM, CABECA ABAULADA</v>
          </cell>
          <cell r="E221" t="str">
            <v>UN.</v>
          </cell>
          <cell r="F221">
            <v>2.62</v>
          </cell>
        </row>
        <row r="222">
          <cell r="B222">
            <v>436</v>
          </cell>
          <cell r="C222" t="str">
            <v>SINAPI (INSUMO)</v>
          </cell>
          <cell r="D222" t="str">
            <v>PARAFUSO FRANCES M16 EM ACO GALVANIZADO, COMPRIMENTO = 150 MM, DIAMETRO = 16MM, CABECA ABAULADA</v>
          </cell>
          <cell r="E222" t="str">
            <v>UN.</v>
          </cell>
          <cell r="F222">
            <v>4.4400000000000004</v>
          </cell>
        </row>
        <row r="223">
          <cell r="B223">
            <v>11790</v>
          </cell>
          <cell r="C223" t="str">
            <v>SINAPI (INSUMO)</v>
          </cell>
          <cell r="D223" t="str">
            <v>PARAFUSO M16 EM ACO GALVANIZADO, COMPRIMENTO = 450 MM, DIAMETRO = 16 MM, ROSCA MAQUINA, CABECA QUADRADA</v>
          </cell>
          <cell r="E223" t="str">
            <v>UN.</v>
          </cell>
          <cell r="F223">
            <v>11.77</v>
          </cell>
        </row>
        <row r="224">
          <cell r="B224">
            <v>4337</v>
          </cell>
          <cell r="C224" t="str">
            <v>SINAPI (INSUMO)</v>
          </cell>
          <cell r="D224" t="str">
            <v>PORCA ZINCADA, QUADRADA, DIAMETRO 5/8"</v>
          </cell>
          <cell r="E224" t="str">
            <v>UN.</v>
          </cell>
          <cell r="F224">
            <v>1.72</v>
          </cell>
        </row>
        <row r="225">
          <cell r="B225">
            <v>4767</v>
          </cell>
          <cell r="C225" t="str">
            <v>SINAPI (INSUMO)</v>
          </cell>
          <cell r="D225" t="str">
            <v xml:space="preserve">PERFIL "I" DE ACO LAMINADO, "I" 152 X 22 </v>
          </cell>
          <cell r="E225" t="str">
            <v>M</v>
          </cell>
          <cell r="F225">
            <v>82.43</v>
          </cell>
        </row>
        <row r="226">
          <cell r="B226">
            <v>11977</v>
          </cell>
          <cell r="C226" t="str">
            <v>SINAPI (INSUMO)</v>
          </cell>
          <cell r="D226" t="str">
            <v xml:space="preserve">CHUMBADOR DE ACO, DIAMETRO 1/2", COMPRIMENTO 75 MM </v>
          </cell>
          <cell r="E226" t="str">
            <v>UN.</v>
          </cell>
          <cell r="F226">
            <v>7.23</v>
          </cell>
        </row>
        <row r="227">
          <cell r="B227">
            <v>9828</v>
          </cell>
          <cell r="C227" t="str">
            <v>SINAPI (INSUMO)</v>
          </cell>
          <cell r="D227" t="str">
            <v xml:space="preserve"> TUBO PVC DEFOFO, JEI, 1 MPA, DN 150 MM, PARA REDEDE AGUA (NBR 7665)</v>
          </cell>
          <cell r="E227" t="str">
            <v>M</v>
          </cell>
          <cell r="F227">
            <v>62</v>
          </cell>
        </row>
        <row r="228">
          <cell r="B228">
            <v>9875</v>
          </cell>
          <cell r="C228" t="str">
            <v>SINAPI (INSUMO)</v>
          </cell>
          <cell r="D228" t="str">
            <v xml:space="preserve">TUBO PVC, SOLDAVEL, DN 50 MM, PARA AGUA FRIA (NBR-5648) </v>
          </cell>
          <cell r="E228" t="str">
            <v>M</v>
          </cell>
          <cell r="F228">
            <v>10.51</v>
          </cell>
        </row>
        <row r="229">
          <cell r="B229">
            <v>7142</v>
          </cell>
          <cell r="C229" t="str">
            <v>SINAPI (INSUMO)</v>
          </cell>
          <cell r="D229" t="str">
            <v xml:space="preserve">TE SOLDAVEL, PVC, 90 GRAUS,50 MM, PARA AGUA FRIA PREDIAL (NBR 5648) </v>
          </cell>
          <cell r="E229" t="str">
            <v>UN.</v>
          </cell>
          <cell r="F229">
            <v>8</v>
          </cell>
        </row>
        <row r="230">
          <cell r="B230">
            <v>9833</v>
          </cell>
          <cell r="C230" t="str">
            <v>SINAPI (INSUMO)</v>
          </cell>
          <cell r="D230" t="str">
            <v>TUBO PVC, FLEXIVEL, CORRUGADO, PERFURADO, DN 110 MM, PARA DRENAGEM, SISTEMA IRRIGACAO</v>
          </cell>
          <cell r="E230" t="str">
            <v>M</v>
          </cell>
          <cell r="F230">
            <v>7.85</v>
          </cell>
        </row>
        <row r="231">
          <cell r="B231">
            <v>2559</v>
          </cell>
          <cell r="C231" t="str">
            <v>SINAPI (INSUMO)</v>
          </cell>
          <cell r="D231" t="str">
            <v>CONDULETE DE ALUMINIO TIPO C, PARA ELETRODUTO ROSCAVEL DE 3/4", COM TAMPA CEGA</v>
          </cell>
          <cell r="E231" t="str">
            <v>UN.</v>
          </cell>
          <cell r="F231">
            <v>7.19</v>
          </cell>
        </row>
        <row r="232">
          <cell r="B232">
            <v>2560</v>
          </cell>
          <cell r="C232" t="str">
            <v>SINAPI (INSUMO)</v>
          </cell>
          <cell r="D232" t="str">
            <v xml:space="preserve">CONDULETE DE ALUMINIO TIPO C, PARA ELETRODUTO ROSCAVEL DE 1", COM TAMPA CEGA </v>
          </cell>
          <cell r="E232" t="str">
            <v>UN.</v>
          </cell>
          <cell r="F232">
            <v>8.99</v>
          </cell>
        </row>
        <row r="233">
          <cell r="B233">
            <v>2567</v>
          </cell>
          <cell r="C233" t="str">
            <v>SINAPI (INSUMO)</v>
          </cell>
          <cell r="D233" t="str">
            <v xml:space="preserve">CONDULETE DE ALUMINIO TIPO E, PARA ELETRODUTO ROSCAVEL DE 2", COM TAMPA CEGA </v>
          </cell>
          <cell r="E233" t="str">
            <v>UN.</v>
          </cell>
          <cell r="F233">
            <v>23.38</v>
          </cell>
        </row>
        <row r="234">
          <cell r="B234">
            <v>2633</v>
          </cell>
          <cell r="C234" t="str">
            <v>SINAPI (INSUMO)</v>
          </cell>
          <cell r="D234" t="str">
            <v>CURVA 90 GRAUS, PARA ELETRODUTO, EM ACO GALVANIZADO ELETROLITICO, DIAMETRO DE 20 MM (3/4")</v>
          </cell>
          <cell r="E234" t="str">
            <v>UN.</v>
          </cell>
          <cell r="F234">
            <v>2.5</v>
          </cell>
        </row>
        <row r="235">
          <cell r="B235">
            <v>2617</v>
          </cell>
          <cell r="C235" t="str">
            <v>SINAPI (INSUMO)</v>
          </cell>
          <cell r="D235" t="str">
            <v>CURVA 90 GRAUS, PARA ELETRODUTO, EM ACO GALVANIZADO ELETROLITICO, DIAMETRO DE 25 MM (1")</v>
          </cell>
          <cell r="E235" t="str">
            <v>UN.</v>
          </cell>
          <cell r="F235">
            <v>3.4</v>
          </cell>
        </row>
        <row r="236">
          <cell r="B236">
            <v>2631</v>
          </cell>
          <cell r="C236" t="str">
            <v>SINAPI (INSUMO)</v>
          </cell>
          <cell r="D236" t="str">
            <v>CURVA 90 GRAUS, PARA ELETRODUTO, EM ACO GALVANIZADO ELETROLITICO, DIAMETRO DE 50 MM (2")</v>
          </cell>
          <cell r="E236" t="str">
            <v>UN.</v>
          </cell>
          <cell r="F236">
            <v>13.89</v>
          </cell>
        </row>
        <row r="237">
          <cell r="B237">
            <v>2503</v>
          </cell>
          <cell r="C237" t="str">
            <v>SINAPI (INSUMO)</v>
          </cell>
          <cell r="D237" t="str">
            <v>ELETRODUTO FLEXIVEL, EM ACO GALVANIZADO, REVESTIDO EXTERNAMENTE COM PVC PRETO, DIAMETRO EXTERNO DE 50 MM( 1 1/2"), TIPO SEALTUBO</v>
          </cell>
          <cell r="E237" t="str">
            <v>M</v>
          </cell>
          <cell r="F237">
            <v>14.49</v>
          </cell>
        </row>
        <row r="238">
          <cell r="B238">
            <v>2638</v>
          </cell>
          <cell r="C238" t="str">
            <v>SINAPI (INSUMO)</v>
          </cell>
          <cell r="D238" t="str">
            <v xml:space="preserve">LUVA PARA ELETRODUTO, EM ACO GALVANIZADO ELETROLITICO, DIAMETRO DE 25 MM (1") </v>
          </cell>
          <cell r="E238" t="str">
            <v>UN</v>
          </cell>
          <cell r="F238">
            <v>1.1000000000000001</v>
          </cell>
        </row>
        <row r="239">
          <cell r="B239">
            <v>2504</v>
          </cell>
          <cell r="C239" t="str">
            <v>SINAPI (INSUMO)</v>
          </cell>
          <cell r="D239" t="str">
            <v>ELETRODUTO FLEXIVEL, EM ACO GALVANIZADO, REVESTIDO EXTERNAMENTE COM PVC PRETO, DIAMETRO EXTERNO DE 25 MM (3/4"), TIPO SEALTUBO</v>
          </cell>
          <cell r="E239" t="str">
            <v>M</v>
          </cell>
          <cell r="F239">
            <v>5.69</v>
          </cell>
        </row>
        <row r="240">
          <cell r="B240">
            <v>2570</v>
          </cell>
          <cell r="C240" t="str">
            <v>SINAPI (INSUMO)</v>
          </cell>
          <cell r="D240" t="str">
            <v xml:space="preserve">CONDULETE DE ALUMINIO TIPO LR, PARA ELETRODUTO ROSCAVEL DE 1", COM TAMPA CEGA </v>
          </cell>
          <cell r="E240" t="str">
            <v>UN.</v>
          </cell>
          <cell r="F240">
            <v>9.4600000000000009</v>
          </cell>
        </row>
        <row r="241">
          <cell r="B241">
            <v>10235</v>
          </cell>
          <cell r="C241" t="str">
            <v>SINAPI (INSUMO)</v>
          </cell>
          <cell r="D241" t="str">
            <v>VALVULA DE RETENCAO DE BRONZE, PE COM CRIVOS, EXTREMIDADE COM ROSCA, DE 3", PARA FUNDO DE POCO</v>
          </cell>
          <cell r="E241" t="str">
            <v>UN.</v>
          </cell>
          <cell r="F241">
            <v>196.72</v>
          </cell>
        </row>
        <row r="242">
          <cell r="B242">
            <v>21015</v>
          </cell>
          <cell r="C242" t="str">
            <v>SINAPI (INSUMO)</v>
          </cell>
          <cell r="D242" t="str">
            <v>TUBO ACO GALVANIZADO COM COSTURA, CLASSE LEVE, DN 80 MM ( 3"), E = 3,35 MM, *7,32* KG/M (NBR 5580)</v>
          </cell>
          <cell r="E242" t="str">
            <v>M</v>
          </cell>
          <cell r="F242">
            <v>54.19</v>
          </cell>
        </row>
        <row r="243">
          <cell r="B243">
            <v>21014</v>
          </cell>
          <cell r="C243" t="str">
            <v>SINAPI (INSUMO)</v>
          </cell>
          <cell r="D243" t="str">
            <v>TUBO ACO GALVANIZADO COM COSTURA, CLASSE LEVE, DN 65 MM ( 2 1/2"), E = 3,35 MM, *6,23* KG/M (NBR 5580)</v>
          </cell>
          <cell r="E243" t="str">
            <v>M</v>
          </cell>
          <cell r="F243">
            <v>47.17</v>
          </cell>
        </row>
        <row r="244">
          <cell r="B244">
            <v>21012</v>
          </cell>
          <cell r="C244" t="str">
            <v>SINAPI (INSUMO)</v>
          </cell>
          <cell r="D244" t="str">
            <v>TUBO ACO GALVANIZADO COM COSTURA, CLASSE LEVE, DN 40 MM ( 1 1/2"), E = 3,00 MM, *3,48* KG/M (NBR 5580)</v>
          </cell>
          <cell r="E244" t="str">
            <v>M</v>
          </cell>
          <cell r="F244">
            <v>25.83</v>
          </cell>
        </row>
        <row r="245">
          <cell r="B245">
            <v>21011</v>
          </cell>
          <cell r="C245" t="str">
            <v>SINAPI (INSUMO)</v>
          </cell>
          <cell r="D245" t="str">
            <v>TUBO ACO GALVANIZADO COM COSTURA, CLASSE LEVE, DN 32 MM ( 1 1/4"), E = 2,65 MM, *2,71* KG/M (NBR 5580)</v>
          </cell>
          <cell r="E245" t="str">
            <v>M</v>
          </cell>
          <cell r="F245">
            <v>23.37</v>
          </cell>
        </row>
        <row r="246">
          <cell r="B246">
            <v>21010</v>
          </cell>
          <cell r="C246" t="str">
            <v>SINAPI (INSUMO)</v>
          </cell>
          <cell r="D246" t="str">
            <v>TUBO ACO GALVANIZADO COM COSTURA, CLASSE LEVE, DN 25 MM ( 1"), E = 2,65 MM, *2,11* KG/M (NBR 5580)</v>
          </cell>
          <cell r="E246" t="str">
            <v>M</v>
          </cell>
          <cell r="F246">
            <v>16.04</v>
          </cell>
        </row>
        <row r="247">
          <cell r="B247">
            <v>21008</v>
          </cell>
          <cell r="C247" t="str">
            <v>SINAPI (INSUMO)</v>
          </cell>
          <cell r="D247" t="str">
            <v>TUBO ACO GALVANIZADO COM COSTURA, CLASSE LEVE, DN 15 MM ( 1/2"), E = 2,25 MM, *1,2* KG/M (NBR 5580)</v>
          </cell>
          <cell r="E247" t="str">
            <v>M</v>
          </cell>
          <cell r="F247">
            <v>9.17</v>
          </cell>
        </row>
        <row r="248">
          <cell r="B248">
            <v>1792</v>
          </cell>
          <cell r="C248" t="str">
            <v>SINAPI (INSUMO)</v>
          </cell>
          <cell r="D248" t="str">
            <v xml:space="preserve">CURVA 90 GRAUS DE FERRO GALVANIZADO, COM ROSCA BSP FEMEA, DE 3" </v>
          </cell>
          <cell r="E248" t="str">
            <v>UN</v>
          </cell>
          <cell r="F248">
            <v>171.72</v>
          </cell>
        </row>
        <row r="249">
          <cell r="B249">
            <v>4182</v>
          </cell>
          <cell r="C249" t="str">
            <v>SINAPI (INSUMO)</v>
          </cell>
          <cell r="D249" t="str">
            <v xml:space="preserve">NIPLE DE FERRO GALVANIZADO, COM ROSCA BSP, DE 3" </v>
          </cell>
          <cell r="E249" t="str">
            <v>UN</v>
          </cell>
          <cell r="F249">
            <v>48.54</v>
          </cell>
        </row>
        <row r="250">
          <cell r="B250">
            <v>4202</v>
          </cell>
          <cell r="C250" t="str">
            <v>SINAPI (INSUMO)</v>
          </cell>
          <cell r="D250" t="str">
            <v xml:space="preserve">NIPLE DE REDUCAO DE FERRO GALVANIZADO, COM ROSCA BSP, DE 3" X 2 1/2" </v>
          </cell>
          <cell r="E250" t="str">
            <v>UN</v>
          </cell>
          <cell r="F250">
            <v>75.489999999999995</v>
          </cell>
        </row>
        <row r="251">
          <cell r="B251">
            <v>3913</v>
          </cell>
          <cell r="C251" t="str">
            <v>SINAPI (INSUMO)</v>
          </cell>
          <cell r="D251" t="str">
            <v xml:space="preserve">LUVA DE FERRO GALVANIZADO, COM ROSCA BSP, DE 2 1/2" </v>
          </cell>
          <cell r="E251" t="str">
            <v>UN</v>
          </cell>
          <cell r="F251">
            <v>35.54</v>
          </cell>
        </row>
        <row r="252">
          <cell r="B252">
            <v>3929</v>
          </cell>
          <cell r="C252" t="str">
            <v>SINAPI (INSUMO)</v>
          </cell>
          <cell r="D252" t="str">
            <v xml:space="preserve">LUVA DE REDUCAO DE FERRO GALVANIZADO, COM ROSCA BSP, DE 3" X 1 1/2" </v>
          </cell>
          <cell r="E252" t="str">
            <v>UN</v>
          </cell>
          <cell r="F252">
            <v>57.82</v>
          </cell>
        </row>
        <row r="253">
          <cell r="B253">
            <v>3914</v>
          </cell>
          <cell r="C253" t="str">
            <v>SINAPI (INSUMO)</v>
          </cell>
          <cell r="D253" t="str">
            <v xml:space="preserve"> LUVA DE FERRO GALVANIZADO, COM ROSCA BSP, DE 3" </v>
          </cell>
          <cell r="E253" t="str">
            <v>UN</v>
          </cell>
          <cell r="F253">
            <v>53.61</v>
          </cell>
        </row>
        <row r="254">
          <cell r="B254">
            <v>6322</v>
          </cell>
          <cell r="C254" t="str">
            <v>SINAPI (INSUMO)</v>
          </cell>
          <cell r="D254" t="str">
            <v xml:space="preserve">TE DE FERRO GALVANIZADO, DE 3" </v>
          </cell>
          <cell r="E254" t="str">
            <v>UN</v>
          </cell>
          <cell r="F254">
            <v>93.58</v>
          </cell>
        </row>
        <row r="255">
          <cell r="B255">
            <v>12438</v>
          </cell>
          <cell r="C255" t="str">
            <v>SINAPI (INSUMO)</v>
          </cell>
          <cell r="D255" t="str">
            <v xml:space="preserve">UNIAO COM ASSENTO CONICO DE FERRO LONGO (MACHO-FEMEA), DIAMETRO 3' </v>
          </cell>
          <cell r="E255" t="str">
            <v>UN</v>
          </cell>
          <cell r="F255">
            <v>234.11</v>
          </cell>
        </row>
        <row r="256">
          <cell r="B256">
            <v>3934</v>
          </cell>
          <cell r="C256" t="str">
            <v>SINAPI (INSUMO)</v>
          </cell>
          <cell r="D256" t="str">
            <v xml:space="preserve">LUVA DE REDUCAO DE FERRO GALVANIZADO, COM ROSCA BSP, DE 4" X 3" </v>
          </cell>
          <cell r="E256" t="str">
            <v>UN</v>
          </cell>
          <cell r="F256">
            <v>99.84</v>
          </cell>
        </row>
        <row r="257">
          <cell r="B257">
            <v>9860</v>
          </cell>
          <cell r="C257" t="str">
            <v>SINAPI (INSUMO)</v>
          </cell>
          <cell r="D257" t="str">
            <v xml:space="preserve"> TUBO PVC, ROSCAVEL, 2", PARA AGUA FRIA PREDIAL </v>
          </cell>
          <cell r="E257" t="str">
            <v>M</v>
          </cell>
          <cell r="F257">
            <v>30.4</v>
          </cell>
        </row>
        <row r="258">
          <cell r="B258">
            <v>9875</v>
          </cell>
          <cell r="C258" t="str">
            <v>SINAPI (INSUMO)</v>
          </cell>
          <cell r="D258" t="str">
            <v>TUBO PVC, SOLDAVEL, DN 50 MM, PARA AGUA FRIA (NBR-5648)</v>
          </cell>
          <cell r="E258" t="str">
            <v>M</v>
          </cell>
          <cell r="F258">
            <v>10.51</v>
          </cell>
        </row>
        <row r="259">
          <cell r="B259">
            <v>9867</v>
          </cell>
          <cell r="C259" t="str">
            <v>SINAPI (INSUMO)</v>
          </cell>
          <cell r="D259" t="str">
            <v xml:space="preserve">TUBO PVC, SOLDAVEL, DN 20 MM, AGUA FRIA (NBR-5648) </v>
          </cell>
          <cell r="E259" t="str">
            <v>M</v>
          </cell>
          <cell r="F259">
            <v>2.04</v>
          </cell>
        </row>
        <row r="260">
          <cell r="B260">
            <v>11671</v>
          </cell>
          <cell r="C260" t="str">
            <v>SINAPI (INSUMO)</v>
          </cell>
          <cell r="D260" t="str">
            <v xml:space="preserve">REGISTRO DE ESFERA, PVC, COM VOLANTE, VS, ROSCAVEL, DN 2", COM CORPO DIVIDIDO </v>
          </cell>
          <cell r="E260" t="str">
            <v>UN</v>
          </cell>
          <cell r="F260">
            <v>68.31</v>
          </cell>
        </row>
        <row r="261">
          <cell r="B261">
            <v>11677</v>
          </cell>
          <cell r="C261" t="str">
            <v>SINAPI (INSUMO)</v>
          </cell>
          <cell r="D261" t="str">
            <v>REGISTRO DE ESFERA, PVC, COM VOLANTE, VS, SOLDAVEL, DN 50 MM, COM CORPO DIVIDIDO</v>
          </cell>
          <cell r="E261" t="str">
            <v>UN</v>
          </cell>
          <cell r="F261">
            <v>43.39</v>
          </cell>
        </row>
        <row r="262">
          <cell r="B262">
            <v>11673</v>
          </cell>
          <cell r="C262" t="str">
            <v>SINAPI (INSUMO)</v>
          </cell>
          <cell r="D262" t="str">
            <v>REGISTRO DE ESFERA, PVC, COM VOLANTE, VS, SOLDAVEL, DN 20 MM, COM CORPO DIVIDIDO</v>
          </cell>
          <cell r="E262" t="str">
            <v>UN</v>
          </cell>
          <cell r="F262">
            <v>15.36</v>
          </cell>
        </row>
        <row r="263">
          <cell r="B263">
            <v>3879</v>
          </cell>
          <cell r="C263" t="str">
            <v>SINAPI (INSUMO)</v>
          </cell>
          <cell r="D263" t="str">
            <v>LUVA PVC, ROSCAVEL, 2", AGUA FRIA PREDIAL</v>
          </cell>
          <cell r="E263" t="str">
            <v>UN</v>
          </cell>
          <cell r="F263">
            <v>9.9700000000000006</v>
          </cell>
        </row>
        <row r="264">
          <cell r="B264">
            <v>4213</v>
          </cell>
          <cell r="C264" t="str">
            <v>SINAPI (INSUMO)</v>
          </cell>
          <cell r="D264" t="str">
            <v>NIPEL PVC, ROSCAVEL, 2", AGUA FRIA PREDIAL</v>
          </cell>
          <cell r="E264" t="str">
            <v>UN</v>
          </cell>
          <cell r="F264">
            <v>7.83</v>
          </cell>
        </row>
        <row r="265">
          <cell r="B265">
            <v>3508</v>
          </cell>
          <cell r="C265" t="str">
            <v>SINAPI (INSUMO)</v>
          </cell>
          <cell r="D265" t="str">
            <v xml:space="preserve">JOELHO PVC, 90 GRAUS, ROSCAVEL, 2", AGUA FRIA PREDIAL </v>
          </cell>
          <cell r="E265" t="str">
            <v>UN</v>
          </cell>
          <cell r="F265">
            <v>17.66</v>
          </cell>
        </row>
        <row r="266">
          <cell r="B266">
            <v>804</v>
          </cell>
          <cell r="C266" t="str">
            <v>SINAPI (INSUMO)</v>
          </cell>
          <cell r="D266" t="str">
            <v>BUCHA REDUCAO PVC, ROSCAVEL, 2" X 1 1/2 "</v>
          </cell>
          <cell r="E266" t="str">
            <v>UN</v>
          </cell>
          <cell r="F266">
            <v>7.51</v>
          </cell>
        </row>
        <row r="267">
          <cell r="B267">
            <v>3871</v>
          </cell>
          <cell r="C267" t="str">
            <v>SINAPI (INSUMO)</v>
          </cell>
          <cell r="D267" t="str">
            <v xml:space="preserve">LUVA SOLDAVEL COM ROSCA, PVC, 50 MM X 1 1/2", PARA AGUA FRIA PREDIAL </v>
          </cell>
          <cell r="E267" t="str">
            <v>UN</v>
          </cell>
          <cell r="F267">
            <v>11.85</v>
          </cell>
        </row>
        <row r="268">
          <cell r="B268">
            <v>4210</v>
          </cell>
          <cell r="C268" t="str">
            <v>SINAPI (INSUMO)</v>
          </cell>
          <cell r="D268" t="str">
            <v xml:space="preserve">NIPEL PVC, ROSCAVEL, 1/2", AGUA FRIA PREDIAL </v>
          </cell>
          <cell r="E268" t="str">
            <v>UN</v>
          </cell>
          <cell r="F268">
            <v>0.55000000000000004</v>
          </cell>
        </row>
        <row r="269">
          <cell r="B269">
            <v>3540</v>
          </cell>
          <cell r="C269" t="str">
            <v>SINAPI (INSUMO)</v>
          </cell>
          <cell r="D269" t="str">
            <v>JOELHO PVC, SOLDAVEL, 90 GRAUS, 50 MM, PARA AGUA FRIA PREDIAL</v>
          </cell>
          <cell r="E269" t="str">
            <v>UN</v>
          </cell>
          <cell r="F269">
            <v>4.63</v>
          </cell>
        </row>
        <row r="270">
          <cell r="B270">
            <v>7142</v>
          </cell>
          <cell r="C270" t="str">
            <v>SINAPI (INSUMO)</v>
          </cell>
          <cell r="D270" t="str">
            <v xml:space="preserve">TE SOLDAVEL, PVC, 90 GRAUS,50 MM, PARA AGUA FRIA PREDIAL (NBR 5648) </v>
          </cell>
          <cell r="E270" t="str">
            <v>UN</v>
          </cell>
          <cell r="F270">
            <v>8</v>
          </cell>
        </row>
        <row r="271">
          <cell r="B271">
            <v>3542</v>
          </cell>
          <cell r="C271" t="str">
            <v>SINAPI (INSUMO)</v>
          </cell>
          <cell r="D271" t="str">
            <v xml:space="preserve">JOELHO PVC, SOLDAVEL, 90 GRAUS, 20 MM, PARA AGUA FRIA PREDIAL </v>
          </cell>
          <cell r="E271" t="str">
            <v>UN</v>
          </cell>
          <cell r="F271">
            <v>0.44</v>
          </cell>
        </row>
        <row r="272">
          <cell r="B272">
            <v>7138</v>
          </cell>
          <cell r="C272" t="str">
            <v>SINAPI (INSUMO)</v>
          </cell>
          <cell r="D272" t="str">
            <v xml:space="preserve">TE SOLDAVEL, PVC, 90 GRAUS, 20 MM, PARA AGUA FRIA PREDIAL (NBR 5648) </v>
          </cell>
          <cell r="E272" t="str">
            <v>UN</v>
          </cell>
          <cell r="F272">
            <v>0.8</v>
          </cell>
        </row>
        <row r="273">
          <cell r="B273">
            <v>828</v>
          </cell>
          <cell r="C273" t="str">
            <v>SINAPI (INSUMO)</v>
          </cell>
          <cell r="D273" t="str">
            <v>BUCHA DE REDUCAO DE PVC, SOLDAVEL, CURTA, COM 25 X 20 MM, PARA AGUA FRIA PREDIAL</v>
          </cell>
          <cell r="E273" t="str">
            <v>UN</v>
          </cell>
          <cell r="F273">
            <v>0.34</v>
          </cell>
        </row>
        <row r="274">
          <cell r="B274">
            <v>3906</v>
          </cell>
          <cell r="C274" t="str">
            <v>SINAPI (INSUMO)</v>
          </cell>
          <cell r="D274" t="str">
            <v>LUVA SOLDAVEL COM ROSCA, PVC, 25 MM X 3/4", PARA AGUA FRIA PREDIAL</v>
          </cell>
          <cell r="E274" t="str">
            <v>UN</v>
          </cell>
          <cell r="F274">
            <v>0.98</v>
          </cell>
        </row>
        <row r="275">
          <cell r="B275">
            <v>4211</v>
          </cell>
          <cell r="C275" t="str">
            <v>SINAPI (INSUMO)</v>
          </cell>
          <cell r="D275" t="str">
            <v xml:space="preserve">NIPEL PVC, ROSCAVEL, 3/4", AGUA FRIA PREDIAL </v>
          </cell>
          <cell r="E275" t="str">
            <v>UN</v>
          </cell>
          <cell r="F275">
            <v>0.81</v>
          </cell>
        </row>
        <row r="276">
          <cell r="B276">
            <v>1938</v>
          </cell>
          <cell r="C276" t="str">
            <v>SINAPI (INSUMO)</v>
          </cell>
          <cell r="D276" t="str">
            <v xml:space="preserve">CURVA PVC 90 GRAUS, ROSCAVEL, 3/4", AGUA FRIA PREDIAL </v>
          </cell>
          <cell r="E276" t="str">
            <v>UN</v>
          </cell>
          <cell r="F276">
            <v>2.48</v>
          </cell>
        </row>
        <row r="277">
          <cell r="B277">
            <v>3493</v>
          </cell>
          <cell r="C277" t="str">
            <v>SINAPI (INSUMO)</v>
          </cell>
          <cell r="D277" t="str">
            <v xml:space="preserve">JOELHO PVC, 45 GRAUS, ROSCAVEL, 2", AGUA FRIA PREDIAL </v>
          </cell>
          <cell r="E277" t="str">
            <v>UN</v>
          </cell>
          <cell r="F277">
            <v>16.95</v>
          </cell>
        </row>
        <row r="278">
          <cell r="B278">
            <v>7110</v>
          </cell>
          <cell r="C278" t="str">
            <v>SINAPI (INSUMO)</v>
          </cell>
          <cell r="D278" t="str">
            <v xml:space="preserve">TE PVC, ROSCAVEL, 90 GRAUS, 2", AGUA FRIA PREDIAL </v>
          </cell>
          <cell r="E278" t="str">
            <v>UN</v>
          </cell>
          <cell r="F278">
            <v>24.3</v>
          </cell>
        </row>
        <row r="279">
          <cell r="B279">
            <v>3992</v>
          </cell>
          <cell r="C279" t="str">
            <v>SINAPI (INSUMO)</v>
          </cell>
          <cell r="D279" t="str">
            <v>TABUA DE MADEIRA APARELHADA *2,5 X 30* CM, MACARANDUBA, ANGELIM OU EQUIVALENTE DA REGIAO</v>
          </cell>
          <cell r="E279" t="str">
            <v>M</v>
          </cell>
          <cell r="F279">
            <v>17.48</v>
          </cell>
        </row>
        <row r="280">
          <cell r="B280">
            <v>9835</v>
          </cell>
          <cell r="C280" t="str">
            <v>SINAPI (INSUMO)</v>
          </cell>
          <cell r="D280" t="str">
            <v xml:space="preserve">TUBO PVC SERIE NORMAL, DN 40 MM, PARA ESGOTO PREDIAL (NBR 5688) </v>
          </cell>
          <cell r="E280" t="str">
            <v>M</v>
          </cell>
          <cell r="F280">
            <v>3.71</v>
          </cell>
        </row>
        <row r="281">
          <cell r="B281">
            <v>9838</v>
          </cell>
          <cell r="C281" t="str">
            <v>SINAPI (INSUMO)</v>
          </cell>
          <cell r="D281" t="str">
            <v xml:space="preserve">TUBO PVC SERIE NORMAL, DN 50 MM, PARA ESGOTO PREDIAL (NBR 5688) </v>
          </cell>
          <cell r="E281" t="str">
            <v>M</v>
          </cell>
          <cell r="F281">
            <v>6.38</v>
          </cell>
        </row>
        <row r="282">
          <cell r="B282">
            <v>9836</v>
          </cell>
          <cell r="C282" t="str">
            <v>SINAPI (INSUMO)</v>
          </cell>
          <cell r="D282" t="str">
            <v xml:space="preserve">TUBO PVC SERIE NORMAL, DN 100 MM, PARA ESGOTO PREDIAL (NBR 5688) </v>
          </cell>
          <cell r="E282" t="str">
            <v>M</v>
          </cell>
          <cell r="F282">
            <v>9.8000000000000007</v>
          </cell>
        </row>
        <row r="283">
          <cell r="B283">
            <v>20151</v>
          </cell>
          <cell r="C283" t="str">
            <v>SINAPI (INSUMO)</v>
          </cell>
          <cell r="D283" t="str">
            <v xml:space="preserve">JOELHO, PVC SERIE R, 45 GRAUS, DN 100 MM, PARA ESGOTO PREDIAL </v>
          </cell>
          <cell r="E283" t="str">
            <v>UN</v>
          </cell>
          <cell r="F283">
            <v>20.010000000000002</v>
          </cell>
        </row>
        <row r="284">
          <cell r="B284">
            <v>20149</v>
          </cell>
          <cell r="C284" t="str">
            <v>SINAPI (INSUMO)</v>
          </cell>
          <cell r="D284" t="str">
            <v xml:space="preserve">JOELHO, PVC SERIE R, 45 GRAUS, DN 50 MM, PARA ESGOTO PREDIAL </v>
          </cell>
          <cell r="E284" t="str">
            <v>UN</v>
          </cell>
          <cell r="F284">
            <v>5.53</v>
          </cell>
        </row>
        <row r="285">
          <cell r="B285">
            <v>20148</v>
          </cell>
          <cell r="C285" t="str">
            <v>SINAPI (INSUMO)</v>
          </cell>
          <cell r="D285" t="str">
            <v xml:space="preserve">JOELHO, PVC SERIE R, 45 GRAUS, DN 40 MM, PARA ESGOTO PREDIAL </v>
          </cell>
          <cell r="E285" t="str">
            <v>UN</v>
          </cell>
          <cell r="F285">
            <v>3.68</v>
          </cell>
        </row>
        <row r="286">
          <cell r="B286">
            <v>20155</v>
          </cell>
          <cell r="C286" t="str">
            <v>SINAPI (INSUMO)</v>
          </cell>
          <cell r="D286" t="str">
            <v xml:space="preserve">JOELHO, PVC SERIE R, 90 GRAUS, DN 50 MM, PARA ESGOTO PREDIAL </v>
          </cell>
          <cell r="E286" t="str">
            <v>UN</v>
          </cell>
          <cell r="F286">
            <v>6.34</v>
          </cell>
        </row>
        <row r="287">
          <cell r="B287">
            <v>20157</v>
          </cell>
          <cell r="C287" t="str">
            <v>SINAPI (INSUMO)</v>
          </cell>
          <cell r="D287" t="str">
            <v xml:space="preserve">JOELHO, PVC SERIE R, 90 GRAUS, DN 100 MM, PARA ESGOTO PREDIAL </v>
          </cell>
          <cell r="E287" t="str">
            <v>UN</v>
          </cell>
          <cell r="F287">
            <v>24.88</v>
          </cell>
        </row>
        <row r="288">
          <cell r="B288">
            <v>20154</v>
          </cell>
          <cell r="C288" t="str">
            <v>SINAPI (INSUMO)</v>
          </cell>
          <cell r="D288" t="str">
            <v xml:space="preserve">JOELHO, PVC SERIE R, 90 GRAUS, DN 40 MM, PARA ESGOTO PREDIAL </v>
          </cell>
          <cell r="E288" t="str">
            <v>UN</v>
          </cell>
          <cell r="F288">
            <v>4.05</v>
          </cell>
        </row>
        <row r="289">
          <cell r="B289">
            <v>3670</v>
          </cell>
          <cell r="C289" t="str">
            <v>SINAPI (INSUMO)</v>
          </cell>
          <cell r="D289" t="str">
            <v xml:space="preserve">JUNCAO SIMPLES, PVC, 45 GRAUS, DN 100 X 100 MM, SERIE NORMAL PARA ESGOTO PREDIAL </v>
          </cell>
          <cell r="E289" t="str">
            <v>UN</v>
          </cell>
          <cell r="F289">
            <v>17.84</v>
          </cell>
        </row>
        <row r="290">
          <cell r="B290">
            <v>20140</v>
          </cell>
          <cell r="C290" t="str">
            <v>SINAPI (INSUMO)</v>
          </cell>
          <cell r="D290" t="str">
            <v xml:space="preserve">JUNCAO SIMPLES, PVC SERIE R, DN 40 X 40 MM, PARA ESGOTO PREDIAL </v>
          </cell>
          <cell r="E290" t="str">
            <v>UN</v>
          </cell>
          <cell r="F290">
            <v>7.59</v>
          </cell>
        </row>
        <row r="291">
          <cell r="B291">
            <v>20141</v>
          </cell>
          <cell r="C291" t="str">
            <v>SINAPI (INSUMO)</v>
          </cell>
          <cell r="D291" t="str">
            <v xml:space="preserve">JUNCAO SIMPLES, PVC SERIE R, DN 50 X 50 MM, PARA ESGOTO PREDIAL </v>
          </cell>
          <cell r="E291" t="str">
            <v>UN</v>
          </cell>
          <cell r="F291">
            <v>11.41</v>
          </cell>
        </row>
        <row r="292">
          <cell r="B292">
            <v>3659</v>
          </cell>
          <cell r="C292" t="str">
            <v>SINAPI (INSUMO)</v>
          </cell>
          <cell r="D292" t="str">
            <v xml:space="preserve">JUNCAO SIMPLES, PVC, DN 100 X 50 MM, SERIE NORMAL PARA ESGOTO PREDIAL </v>
          </cell>
          <cell r="E292" t="str">
            <v>UN</v>
          </cell>
          <cell r="F292">
            <v>12.88</v>
          </cell>
        </row>
        <row r="293">
          <cell r="B293">
            <v>20043</v>
          </cell>
          <cell r="C293" t="str">
            <v>SINAPI (INSUMO)</v>
          </cell>
          <cell r="D293" t="str">
            <v xml:space="preserve">REDUCAO EXCENTRICA PVC P/ ESG PREDIAL DN 100 X 50MM </v>
          </cell>
          <cell r="E293" t="str">
            <v>UN</v>
          </cell>
          <cell r="F293">
            <v>1.88</v>
          </cell>
        </row>
        <row r="294">
          <cell r="B294">
            <v>20086</v>
          </cell>
          <cell r="C294" t="str">
            <v>SINAPI (INSUMO)</v>
          </cell>
          <cell r="D294" t="str">
            <v xml:space="preserve">BUCHA DE REDUCAO DE PVC, SOLDAVEL, LONGA, 50 X 40 MM, PARA ESGOTO PREDIAL </v>
          </cell>
          <cell r="E294" t="str">
            <v>UN</v>
          </cell>
          <cell r="F294">
            <v>1.97</v>
          </cell>
        </row>
        <row r="295">
          <cell r="B295">
            <v>7097</v>
          </cell>
          <cell r="C295" t="str">
            <v>SINAPI (INSUMO)</v>
          </cell>
          <cell r="D295" t="str">
            <v xml:space="preserve">TE SANITARIO, PVC, DN 50 X 50 MM, SERIE NORMAL, PARA ESGOTO PREDIAL </v>
          </cell>
          <cell r="E295" t="str">
            <v>UN</v>
          </cell>
          <cell r="F295">
            <v>5.72</v>
          </cell>
        </row>
        <row r="296">
          <cell r="B296">
            <v>5103</v>
          </cell>
          <cell r="C296" t="str">
            <v>SINAPI (INSUMO)</v>
          </cell>
          <cell r="D296" t="str">
            <v xml:space="preserve">CAIXA SIFONADA PVC, 100 X 100 X 50 MM, COM GRELHA REDONDA BRANCA </v>
          </cell>
          <cell r="E296" t="str">
            <v>UN</v>
          </cell>
          <cell r="F296">
            <v>10.84</v>
          </cell>
        </row>
        <row r="297">
          <cell r="B297">
            <v>9836</v>
          </cell>
          <cell r="C297" t="str">
            <v>SINAPI (INSUMO)</v>
          </cell>
          <cell r="D297" t="str">
            <v xml:space="preserve">TUBO PVC SERIE NORMAL, DN 100 MM, PARA ESGOTO PREDIAL (NBR 5688) </v>
          </cell>
          <cell r="E297" t="str">
            <v>M</v>
          </cell>
          <cell r="F297">
            <v>9.8000000000000007</v>
          </cell>
        </row>
        <row r="298">
          <cell r="B298">
            <v>20157</v>
          </cell>
          <cell r="C298" t="str">
            <v>SINAPI (INSUMO)</v>
          </cell>
          <cell r="D298" t="str">
            <v xml:space="preserve">JOELHO, PVC SERIE R, 90 GRAUS, DN 100 MM, PARA ESGOTO PREDIAL </v>
          </cell>
          <cell r="E298" t="str">
            <v>UN</v>
          </cell>
          <cell r="F298">
            <v>24.88</v>
          </cell>
        </row>
        <row r="299">
          <cell r="B299">
            <v>11929</v>
          </cell>
          <cell r="C299" t="str">
            <v>SINAPI (INSUMO)</v>
          </cell>
          <cell r="D299" t="str">
            <v>ABRACADEIRA, GALVANIZADA/ZINCADA, ROSCA SEM FIM, PARAFUSO INOX, LARGURA FITA *12,6 A *14 MM, D = 4" A 4 3/4"</v>
          </cell>
          <cell r="E299" t="str">
            <v>UN</v>
          </cell>
          <cell r="F299">
            <v>9.26</v>
          </cell>
        </row>
        <row r="300">
          <cell r="B300">
            <v>11708</v>
          </cell>
          <cell r="C300" t="str">
            <v>SINAPI (INSUMO)</v>
          </cell>
          <cell r="D300" t="str">
            <v xml:space="preserve">RALO FOFO SEMIESFERICO, 100 MM, PARA LAJES/ CALHAS </v>
          </cell>
          <cell r="E300" t="str">
            <v>UN</v>
          </cell>
          <cell r="F300">
            <v>13</v>
          </cell>
        </row>
        <row r="301">
          <cell r="B301">
            <v>13415</v>
          </cell>
          <cell r="C301" t="str">
            <v>SINAPI (INSUMO)</v>
          </cell>
          <cell r="D301" t="str">
            <v>TORNEIRA CROMADA DE MESA PARA LAVATORIO, PADRAO POPULAR, 1/2 " OU 3/4 " (REF 1193)</v>
          </cell>
          <cell r="E301" t="str">
            <v>UN</v>
          </cell>
          <cell r="F301">
            <v>39.950000000000003</v>
          </cell>
        </row>
        <row r="302">
          <cell r="B302">
            <v>10422</v>
          </cell>
          <cell r="C302" t="str">
            <v>SINAPI (INSUMO)</v>
          </cell>
          <cell r="D302" t="str">
            <v xml:space="preserve">BACIA SANITARIA (VASO) COM CAIXA ACOPLADA, DE LOUCA BRANCA </v>
          </cell>
          <cell r="E302" t="str">
            <v>UN</v>
          </cell>
          <cell r="F302">
            <v>331.95</v>
          </cell>
        </row>
        <row r="303">
          <cell r="B303">
            <v>1368</v>
          </cell>
          <cell r="C303" t="str">
            <v>SINAPI (INSUMO)</v>
          </cell>
          <cell r="D303" t="str">
            <v>CHUVEIRO COMUM EM PLASTICO BRANCO, COM CANO, 3 TEMPERATURAS, 5500 W (110/220V)</v>
          </cell>
          <cell r="E303" t="str">
            <v>UN</v>
          </cell>
          <cell r="F303">
            <v>46.9</v>
          </cell>
        </row>
        <row r="304">
          <cell r="B304">
            <v>6005</v>
          </cell>
          <cell r="C304" t="str">
            <v>SINAPI (INSUMO)</v>
          </cell>
          <cell r="D304" t="str">
            <v>REGISTRO GAVETA COM ACABAMENTO E CANOPLA CROMADOS, SIMPLES, BITOLA 3/4 " (REF 1509)</v>
          </cell>
          <cell r="E304" t="str">
            <v>UN</v>
          </cell>
          <cell r="F304">
            <v>49.2</v>
          </cell>
        </row>
        <row r="305">
          <cell r="B305">
            <v>9868</v>
          </cell>
          <cell r="C305" t="str">
            <v>SINAPI (INSUMO)</v>
          </cell>
          <cell r="D305" t="str">
            <v>TUBO PVC, SOLDAVEL, DN 25 MM, AGUA FRIA (NBR-5648)</v>
          </cell>
          <cell r="E305" t="str">
            <v>M</v>
          </cell>
          <cell r="F305">
            <v>2.71</v>
          </cell>
        </row>
        <row r="306">
          <cell r="B306">
            <v>9874</v>
          </cell>
          <cell r="C306" t="str">
            <v>SINAPI (INSUMO)</v>
          </cell>
          <cell r="D306" t="str">
            <v xml:space="preserve">TUBO PVC, SOLDAVEL, DN 40 MM, AGUA FRIA (NBR-5648) </v>
          </cell>
          <cell r="E306" t="str">
            <v>M</v>
          </cell>
          <cell r="F306">
            <v>8.4700000000000006</v>
          </cell>
        </row>
        <row r="307">
          <cell r="B307">
            <v>9875</v>
          </cell>
          <cell r="C307" t="str">
            <v>SINAPI (INSUMO)</v>
          </cell>
          <cell r="D307" t="str">
            <v xml:space="preserve">TUBO PVC, SOLDAVEL, DN 50 MM, PARA AGUA FRIA (NBR-5648) </v>
          </cell>
          <cell r="E307" t="str">
            <v>M</v>
          </cell>
          <cell r="F307">
            <v>10.51</v>
          </cell>
        </row>
        <row r="308">
          <cell r="B308">
            <v>6140</v>
          </cell>
          <cell r="C308" t="str">
            <v>SINAPI (INSUMO)</v>
          </cell>
          <cell r="D308" t="str">
            <v xml:space="preserve">BOLSA DE LIGACAO EM PVC FLEXIVEL PARA VASO SANITARIO 1.1/2 " (40 MM) </v>
          </cell>
          <cell r="E308" t="str">
            <v>UN</v>
          </cell>
          <cell r="F308">
            <v>2.46</v>
          </cell>
        </row>
        <row r="309">
          <cell r="B309">
            <v>11683</v>
          </cell>
          <cell r="C309" t="str">
            <v>SINAPI (INSUMO)</v>
          </cell>
          <cell r="D309" t="str">
            <v xml:space="preserve">ENGATE / RABICHO FLEXIVEL INOX 1/2 " X 30 CM </v>
          </cell>
          <cell r="E309" t="str">
            <v>UN</v>
          </cell>
          <cell r="F309">
            <v>21.76</v>
          </cell>
        </row>
        <row r="310">
          <cell r="B310">
            <v>6141</v>
          </cell>
          <cell r="C310" t="str">
            <v>SINAPI (INSUMO)</v>
          </cell>
          <cell r="D310" t="str">
            <v xml:space="preserve">ENGATE/RABICHO FLEXIVEL PLASTICO (PVC OU ABS) BRANCO 1/2 " X 30 CM </v>
          </cell>
          <cell r="E310" t="str">
            <v>UN</v>
          </cell>
          <cell r="F310">
            <v>2.88</v>
          </cell>
        </row>
        <row r="311">
          <cell r="B311">
            <v>3531</v>
          </cell>
          <cell r="C311" t="str">
            <v>SINAPI (INSUMO)</v>
          </cell>
          <cell r="D311" t="str">
            <v xml:space="preserve">JOELHO PVC, SOLDAVEL COM ROSCA, 90 GRAUS, 25 MM X 1/2", PARA AGUA FRIA PREDIAL </v>
          </cell>
          <cell r="E311" t="str">
            <v>UN</v>
          </cell>
          <cell r="F311">
            <v>1.56</v>
          </cell>
        </row>
        <row r="312">
          <cell r="B312">
            <v>65</v>
          </cell>
          <cell r="C312" t="str">
            <v>SINAPI (INSUMO)</v>
          </cell>
          <cell r="D312" t="str">
            <v>ADAPTADOR PVC SOLDAVEL CURTO COM BOLSA E ROSCA, 25 MM X 3/4", PARA AGUA FRIA</v>
          </cell>
          <cell r="E312" t="str">
            <v>UN</v>
          </cell>
          <cell r="F312">
            <v>0.69</v>
          </cell>
        </row>
        <row r="313">
          <cell r="B313">
            <v>3529</v>
          </cell>
          <cell r="C313" t="str">
            <v>SINAPI (INSUMO)</v>
          </cell>
          <cell r="D313" t="str">
            <v xml:space="preserve">JOELHO PVC, SOLDAVEL, 90 GRAUS, 25 MM, PARA AGUA FRIA PREDIAL </v>
          </cell>
          <cell r="E313" t="str">
            <v>UN</v>
          </cell>
          <cell r="F313">
            <v>0.65</v>
          </cell>
        </row>
        <row r="314">
          <cell r="B314">
            <v>7139</v>
          </cell>
          <cell r="C314" t="str">
            <v>SINAPI (INSUMO)</v>
          </cell>
          <cell r="D314" t="str">
            <v xml:space="preserve">TE SOLDAVEL, PVC, 90 GRAUS, 25 MM, PARA AGUA FRIA PREDIAL (NBR 5648) </v>
          </cell>
          <cell r="E314" t="str">
            <v>UN</v>
          </cell>
          <cell r="F314">
            <v>1.1000000000000001</v>
          </cell>
        </row>
        <row r="315">
          <cell r="B315">
            <v>20147</v>
          </cell>
          <cell r="C315" t="str">
            <v>SINAPI (INSUMO)</v>
          </cell>
          <cell r="D315" t="str">
            <v>JOELHO PVC, SOLDAVEL, COM BUCHA DE LATAO, 90 GRAUS, 25 MM X 1/2", PARA AGUA FRIA PREDIAL</v>
          </cell>
          <cell r="E315" t="str">
            <v>UN</v>
          </cell>
          <cell r="F315">
            <v>5.04</v>
          </cell>
        </row>
        <row r="316">
          <cell r="B316">
            <v>819</v>
          </cell>
          <cell r="C316" t="str">
            <v>SINAPI (INSUMO)</v>
          </cell>
          <cell r="D316" t="str">
            <v>BUCHA DE REDUCAO DE PVC, SOLDAVEL, CURTA, COM 50 X 40 MM, PARA AGUA FRIA PREDIAL</v>
          </cell>
          <cell r="E316" t="str">
            <v>UN</v>
          </cell>
          <cell r="F316">
            <v>2.4900000000000002</v>
          </cell>
        </row>
        <row r="317">
          <cell r="B317">
            <v>834</v>
          </cell>
          <cell r="C317" t="str">
            <v>SINAPI (INSUMO)</v>
          </cell>
          <cell r="D317" t="str">
            <v>BUCHA DE REDUCAO DE PVC, SOLDAVEL, LONGA, COM 40 X 25 MM, PARA AGUA FRIA PREDIAL</v>
          </cell>
          <cell r="E317" t="str">
            <v>UN</v>
          </cell>
          <cell r="F317">
            <v>2.41</v>
          </cell>
        </row>
        <row r="318">
          <cell r="B318">
            <v>813</v>
          </cell>
          <cell r="C318" t="str">
            <v>SINAPI (INSUMO)</v>
          </cell>
          <cell r="D318" t="str">
            <v>BUCHA DE REDUCAO DE PVC, SOLDAVEL, LONGA, COM 50 X 25 MM, PARA AGUA FRIA PREDIAL</v>
          </cell>
          <cell r="E318" t="str">
            <v>UN</v>
          </cell>
          <cell r="F318">
            <v>3.16</v>
          </cell>
        </row>
        <row r="319">
          <cell r="B319">
            <v>1194</v>
          </cell>
          <cell r="C319" t="str">
            <v>SINAPI (INSUMO)</v>
          </cell>
          <cell r="D319" t="str">
            <v>CAP PVC, SOLDAVEL, 50 MM, PARA AGUA FRIA PREDIAL</v>
          </cell>
          <cell r="E319" t="str">
            <v>UN</v>
          </cell>
          <cell r="F319">
            <v>5.47</v>
          </cell>
        </row>
        <row r="320">
          <cell r="B320">
            <v>3500</v>
          </cell>
          <cell r="C320" t="str">
            <v>SINAPI (INSUMO)</v>
          </cell>
          <cell r="D320" t="str">
            <v xml:space="preserve">JOELHO, PVC SOLDAVEL, 45 GRAUS, 25 MM, PARA AGUA FRIA PREDIAL </v>
          </cell>
          <cell r="E320" t="str">
            <v>UN</v>
          </cell>
          <cell r="F320">
            <v>1.17</v>
          </cell>
        </row>
        <row r="321">
          <cell r="B321">
            <v>3502</v>
          </cell>
          <cell r="C321" t="str">
            <v>SINAPI (INSUMO)</v>
          </cell>
          <cell r="D321" t="str">
            <v xml:space="preserve">JOELHO, PVC SOLDAVEL, 45 GRAUS, 40 MM, PARA AGUA FRIA PREDIAL </v>
          </cell>
          <cell r="E321" t="str">
            <v>UN</v>
          </cell>
          <cell r="F321">
            <v>4.5599999999999996</v>
          </cell>
        </row>
        <row r="322">
          <cell r="B322">
            <v>3503</v>
          </cell>
          <cell r="C322" t="str">
            <v>SINAPI (INSUMO)</v>
          </cell>
          <cell r="D322" t="str">
            <v xml:space="preserve">JOELHO, PVC SOLDAVEL, 45 GRAUS, 50 MM, PARA AGUA FRIA PREDIAL </v>
          </cell>
          <cell r="E322" t="str">
            <v>UN</v>
          </cell>
          <cell r="F322">
            <v>5.68</v>
          </cell>
        </row>
        <row r="323">
          <cell r="B323">
            <v>3904</v>
          </cell>
          <cell r="C323" t="str">
            <v>SINAPI (INSUMO)</v>
          </cell>
          <cell r="D323" t="str">
            <v xml:space="preserve">LUVA PVC SOLDAVEL, 25 MM, PARA AGUA FRIA PREDIAL </v>
          </cell>
          <cell r="E323" t="str">
            <v>UN</v>
          </cell>
          <cell r="F323">
            <v>0.54</v>
          </cell>
        </row>
        <row r="324">
          <cell r="B324">
            <v>7141</v>
          </cell>
          <cell r="C324" t="str">
            <v>SINAPI (INSUMO)</v>
          </cell>
          <cell r="D324" t="str">
            <v xml:space="preserve">TE SOLDAVEL, PVC, 90 GRAUS, 40 MM, PARA AGUA FRIA PREDIAL (NBR 5648) </v>
          </cell>
          <cell r="E324" t="str">
            <v>UN</v>
          </cell>
          <cell r="F324">
            <v>7.07</v>
          </cell>
        </row>
        <row r="325">
          <cell r="B325">
            <v>7142</v>
          </cell>
          <cell r="C325" t="str">
            <v>SINAPI (INSUMO)</v>
          </cell>
          <cell r="D325" t="str">
            <v xml:space="preserve">TE SOLDAVEL, PVC, 90 GRAUS,50 MM, PARA AGUA FRIA PREDIAL (NBR 5648) </v>
          </cell>
          <cell r="E325" t="str">
            <v>UN</v>
          </cell>
          <cell r="F325">
            <v>8</v>
          </cell>
        </row>
        <row r="326">
          <cell r="B326">
            <v>7129</v>
          </cell>
          <cell r="C326" t="str">
            <v>SINAPI (INSUMO)</v>
          </cell>
          <cell r="D326" t="str">
            <v xml:space="preserve">TE DE REDUCAO, PVC, SOLDAVEL, 90 GRAUS, 50 MM X 25 MM, PARA AGUA FRIA PREDIAL </v>
          </cell>
          <cell r="E326" t="str">
            <v>UN</v>
          </cell>
          <cell r="F326">
            <v>7.73</v>
          </cell>
        </row>
        <row r="327">
          <cell r="B327">
            <v>7131</v>
          </cell>
          <cell r="C327" t="str">
            <v>SINAPI (INSUMO)</v>
          </cell>
          <cell r="D327" t="str">
            <v xml:space="preserve">TE DE REDUCAO, PVC, SOLDAVEL, 90 GRAUS, 50 MM X 40 MM, PARA AGUA FRIA PREDIAL </v>
          </cell>
          <cell r="E327" t="str">
            <v>UN</v>
          </cell>
          <cell r="F327">
            <v>12.04</v>
          </cell>
        </row>
        <row r="328">
          <cell r="B328">
            <v>2637</v>
          </cell>
          <cell r="C328" t="str">
            <v>SINAPI (INSUMO)</v>
          </cell>
          <cell r="D328" t="str">
            <v xml:space="preserve">LUVA PARA ELETRODUTO, EM ACO GALVANIZADO ELETROLITICO, DIAMETRO DE 20 MM (3/4") </v>
          </cell>
          <cell r="E328" t="str">
            <v>UN</v>
          </cell>
          <cell r="F328">
            <v>0.94</v>
          </cell>
        </row>
        <row r="329">
          <cell r="B329">
            <v>2639</v>
          </cell>
          <cell r="C329" t="str">
            <v>SINAPI (INSUMO)</v>
          </cell>
          <cell r="D329" t="str">
            <v>LUVA PARA ELETRODUTO, EM ACO GALVANIZADO ELETROLITICO, DIAMETRO DE 32 MM (1 1/4")</v>
          </cell>
          <cell r="E329" t="str">
            <v>UN</v>
          </cell>
          <cell r="F329">
            <v>1.94</v>
          </cell>
        </row>
        <row r="330">
          <cell r="B330">
            <v>2618</v>
          </cell>
          <cell r="C330" t="str">
            <v>SINAPI (INSUMO)</v>
          </cell>
          <cell r="D330" t="str">
            <v>CURVA 90 GRAUS, PARA ELETRODUTO, EM ACO GALVANIZADO ELETROLITICO, DIAMETRO DE 32 MM (1 1/4")</v>
          </cell>
          <cell r="E330" t="str">
            <v>UN</v>
          </cell>
          <cell r="F330">
            <v>7.75</v>
          </cell>
        </row>
        <row r="331">
          <cell r="B331">
            <v>400</v>
          </cell>
          <cell r="C331" t="str">
            <v>SINAPI (INSUMO)</v>
          </cell>
          <cell r="D331" t="str">
            <v>ABRACADEIRA EM ACO PARA AMARRACAO DE ELETRODUTOS, TIPO D, COM 3/4" E PARAFUSO DE FIXACAO</v>
          </cell>
          <cell r="E331" t="str">
            <v>UN</v>
          </cell>
          <cell r="F331">
            <v>0.61</v>
          </cell>
        </row>
        <row r="332">
          <cell r="B332">
            <v>395</v>
          </cell>
          <cell r="C332" t="str">
            <v>SINAPI (INSUMO)</v>
          </cell>
          <cell r="D332" t="str">
            <v>ABRACADEIRA EM ACO PARA AMARRACAO DE ELETRODUTOS, TIPO D, COM 1 1/4" E PARAFUSO DE FIXACAO</v>
          </cell>
          <cell r="E332" t="str">
            <v>UN</v>
          </cell>
          <cell r="F332">
            <v>1.1599999999999999</v>
          </cell>
        </row>
        <row r="333">
          <cell r="B333">
            <v>2588</v>
          </cell>
          <cell r="C333" t="str">
            <v>SINAPI (INSUMO)</v>
          </cell>
          <cell r="D333" t="str">
            <v>CONDULETE DE ALUMINIO TIPO LR, PARA ELETRODUTO ROSCAVEL DE 1 1/4", COM TAMPA CEGA</v>
          </cell>
          <cell r="E333" t="str">
            <v>UN</v>
          </cell>
          <cell r="F333">
            <v>14.64</v>
          </cell>
        </row>
        <row r="334">
          <cell r="B334">
            <v>2593</v>
          </cell>
          <cell r="C334" t="str">
            <v>SINAPI (INSUMO)</v>
          </cell>
          <cell r="D334" t="str">
            <v>CONDULETE DE ALUMINIO TIPO LR, PARA ELETRODUTO ROSCAVEL DE 3/4", COM TAMPA CEGA</v>
          </cell>
          <cell r="E334" t="str">
            <v>UN</v>
          </cell>
          <cell r="F334">
            <v>6.01</v>
          </cell>
        </row>
        <row r="335">
          <cell r="B335">
            <v>2510</v>
          </cell>
          <cell r="C335" t="str">
            <v>SINAPI (INSUMO)</v>
          </cell>
          <cell r="D335" t="str">
            <v xml:space="preserve">RELE FOTOELETRICO INTERNO E EXTERNO BIVOLT 1000 W, DE CONECTOR, SEM BASE </v>
          </cell>
          <cell r="E335" t="str">
            <v>UN</v>
          </cell>
          <cell r="F335">
            <v>14.86</v>
          </cell>
        </row>
        <row r="336">
          <cell r="B336">
            <v>7572</v>
          </cell>
          <cell r="C336" t="str">
            <v>SINAPI (INSUMO)</v>
          </cell>
          <cell r="D336" t="str">
            <v>SUPORTE ISOLADOR REFORCADO DIAMETRO NOMINAL 5/16", COM ROSCA SOBERBA E BUCHA</v>
          </cell>
          <cell r="E336" t="str">
            <v>UN</v>
          </cell>
          <cell r="F336">
            <v>5.37</v>
          </cell>
        </row>
        <row r="337">
          <cell r="B337">
            <v>3396</v>
          </cell>
          <cell r="C337" t="str">
            <v>SINAPI (INSUMO)</v>
          </cell>
          <cell r="D337" t="str">
            <v xml:space="preserve">SUPORTE ISOLADOR SIMPLES DIAMETRO NOMINAL 5/16", COM ROSCA SOBERBA E BUCHA </v>
          </cell>
          <cell r="E337" t="str">
            <v>UN</v>
          </cell>
          <cell r="F337">
            <v>3.8</v>
          </cell>
        </row>
        <row r="338">
          <cell r="B338">
            <v>11864</v>
          </cell>
          <cell r="C338" t="str">
            <v>SINAPI (INSUMO)</v>
          </cell>
          <cell r="D338" t="str">
            <v xml:space="preserve">CONECTOR METALICO TIPO PARAFUSO FENDIDO (SPLIT BOLT), PARA CABOS ATE 95 MM2 </v>
          </cell>
          <cell r="E338" t="str">
            <v>UN</v>
          </cell>
          <cell r="F338">
            <v>12.31</v>
          </cell>
        </row>
        <row r="339">
          <cell r="B339">
            <v>21013</v>
          </cell>
          <cell r="C339" t="str">
            <v>SINAPI (INSUMO)</v>
          </cell>
          <cell r="D339" t="str">
            <v>TUBO ACO GALVANIZADO COM COSTURA, CLASSE LEVE, DN 50 MM ( 2"), E = 3,00 MM, *4,40*KG/M (NBR 5580)</v>
          </cell>
          <cell r="E339" t="str">
            <v>M</v>
          </cell>
          <cell r="F339">
            <v>33.71</v>
          </cell>
        </row>
        <row r="340">
          <cell r="B340">
            <v>21014</v>
          </cell>
          <cell r="C340" t="str">
            <v>SINAPI (INSUMO)</v>
          </cell>
          <cell r="D340" t="str">
            <v>TUBO ACO GALVANIZADO COM COSTURA, CLASSE LEVE, DN 65 MM ( 2 1/2"), E = 3,35 MM, *6,23* KG/M (NBR 5580)</v>
          </cell>
          <cell r="E340" t="str">
            <v>M</v>
          </cell>
          <cell r="F340">
            <v>47.17</v>
          </cell>
        </row>
        <row r="341">
          <cell r="B341">
            <v>1790</v>
          </cell>
          <cell r="C341" t="str">
            <v>SINAPI (INSUMO)</v>
          </cell>
          <cell r="D341" t="str">
            <v xml:space="preserve">CURVA 90 GRAUS DE FERRO GALVANIZADO, COM ROSCA BSP FEMEA, DE 2" </v>
          </cell>
          <cell r="E341" t="str">
            <v>UN</v>
          </cell>
          <cell r="F341">
            <v>73.31</v>
          </cell>
        </row>
        <row r="342">
          <cell r="B342">
            <v>4181</v>
          </cell>
          <cell r="C342" t="str">
            <v>SINAPI (INSUMO)</v>
          </cell>
          <cell r="D342" t="str">
            <v xml:space="preserve">NIPLE DE FERRO GALVANIZADO, COM ROSCA BSP, DE 2" </v>
          </cell>
          <cell r="E342" t="str">
            <v>UN</v>
          </cell>
          <cell r="F342">
            <v>19.489999999999998</v>
          </cell>
        </row>
        <row r="343">
          <cell r="B343">
            <v>4197</v>
          </cell>
          <cell r="C343" t="str">
            <v>SINAPI (INSUMO)</v>
          </cell>
          <cell r="D343" t="str">
            <v xml:space="preserve">NIPLE DE REDUCAO DE FERRO GALVANIZADO, COM ROSCA BSP, DE 2 1/2" X 2" </v>
          </cell>
          <cell r="E343" t="str">
            <v>UN</v>
          </cell>
          <cell r="F343">
            <v>41.33</v>
          </cell>
        </row>
        <row r="344">
          <cell r="B344">
            <v>3913</v>
          </cell>
          <cell r="C344" t="str">
            <v>SINAPI (INSUMO)</v>
          </cell>
          <cell r="D344" t="str">
            <v xml:space="preserve"> LUVA DE FERRO GALVANIZADO, COM ROSCA BSP, DE 2 1/2" </v>
          </cell>
          <cell r="E344" t="str">
            <v>UN</v>
          </cell>
          <cell r="F344">
            <v>35.54</v>
          </cell>
        </row>
        <row r="345">
          <cell r="B345">
            <v>788</v>
          </cell>
          <cell r="C345" t="str">
            <v>SINAPI (INSUMO)</v>
          </cell>
          <cell r="D345" t="str">
            <v xml:space="preserve">BUCHA DE REDUCAO DE FERRO GALVANIZADO, COM ROSCA BSP, DE 2" X 1 1/2" </v>
          </cell>
          <cell r="E345" t="str">
            <v>UN</v>
          </cell>
          <cell r="F345">
            <v>15.41</v>
          </cell>
        </row>
        <row r="346">
          <cell r="B346">
            <v>3912</v>
          </cell>
          <cell r="C346" t="str">
            <v>SINAPI (INSUMO)</v>
          </cell>
          <cell r="D346" t="str">
            <v xml:space="preserve">LUVA DE FERRO GALVANIZADO, COM ROSCA BSP, DE 2" </v>
          </cell>
          <cell r="E346" t="str">
            <v>UN</v>
          </cell>
          <cell r="F346">
            <v>19.48</v>
          </cell>
        </row>
        <row r="347">
          <cell r="B347">
            <v>6298</v>
          </cell>
          <cell r="C347" t="str">
            <v>SINAPI (INSUMO)</v>
          </cell>
          <cell r="D347" t="str">
            <v xml:space="preserve">TE DE FERRO GALVANIZADO, DE 2" </v>
          </cell>
          <cell r="E347" t="str">
            <v>UN</v>
          </cell>
          <cell r="F347">
            <v>36.79</v>
          </cell>
        </row>
        <row r="348">
          <cell r="B348">
            <v>12437</v>
          </cell>
          <cell r="C348" t="str">
            <v>SINAPI (INSUMO)</v>
          </cell>
          <cell r="D348" t="str">
            <v xml:space="preserve">UNIAO COM ASSENTO CONICO DE FERRO LONGO (MACHO-FEMEA), DIAMETRO 2" </v>
          </cell>
          <cell r="E348" t="str">
            <v>UN</v>
          </cell>
          <cell r="F348">
            <v>129.36000000000001</v>
          </cell>
        </row>
        <row r="349">
          <cell r="B349">
            <v>113</v>
          </cell>
          <cell r="C349" t="str">
            <v>SINAPI (INSUMO)</v>
          </cell>
          <cell r="D349" t="str">
            <v xml:space="preserve">ADAPTADOR PVC SOLDAVEL CURTO COM BOLSA E ROSCA, 60 MM X 2", PARA AGUA FRIA </v>
          </cell>
          <cell r="E349" t="str">
            <v>UN</v>
          </cell>
          <cell r="F349">
            <v>7.71</v>
          </cell>
        </row>
        <row r="350">
          <cell r="B350">
            <v>3539</v>
          </cell>
          <cell r="C350" t="str">
            <v>SINAPI (INSUMO)</v>
          </cell>
          <cell r="D350" t="str">
            <v>JOELHO PVC, SOLDAVEL, 90 GRAUS, 60 MM, PARA AGUA FRIA PREDIAL</v>
          </cell>
          <cell r="E350" t="str">
            <v>UN</v>
          </cell>
          <cell r="F350">
            <v>21.17</v>
          </cell>
        </row>
        <row r="351">
          <cell r="B351">
            <v>1195</v>
          </cell>
          <cell r="C351" t="str">
            <v>SINAPI (INSUMO)</v>
          </cell>
          <cell r="D351" t="str">
            <v xml:space="preserve">CAP PVC, SOLDAVEL, 60 MM, PARA AGUA FRIA PREDIAL </v>
          </cell>
          <cell r="E351" t="str">
            <v>UN</v>
          </cell>
          <cell r="F351">
            <v>8.35</v>
          </cell>
        </row>
        <row r="352">
          <cell r="B352">
            <v>9873</v>
          </cell>
          <cell r="C352" t="str">
            <v>SINAPI (INSUMO)</v>
          </cell>
          <cell r="D352" t="str">
            <v xml:space="preserve">TUBO PVC, SOLDAVEL, DN 60 MM, AGUA FRIA (NBR-5648) </v>
          </cell>
          <cell r="E352" t="str">
            <v>M</v>
          </cell>
          <cell r="F352">
            <v>16.38</v>
          </cell>
        </row>
        <row r="353">
          <cell r="B353">
            <v>2593</v>
          </cell>
          <cell r="C353" t="str">
            <v>SINAPI (INSUMO)</v>
          </cell>
          <cell r="D353" t="str">
            <v>CONDULETE DE ALUMINIO TIPO LR, PARA ELETRODUTO ROSCAVEL DE 3/4", COM TAMPA CEGA</v>
          </cell>
          <cell r="E353" t="str">
            <v>UN</v>
          </cell>
          <cell r="F353">
            <v>6.01</v>
          </cell>
        </row>
        <row r="354">
          <cell r="B354">
            <v>2633</v>
          </cell>
          <cell r="C354" t="str">
            <v>SINAPI (INSUMO)</v>
          </cell>
          <cell r="D354" t="str">
            <v>CURVA 90 GRAUS, PARA ELETRODUTO, EM ACO GALVANIZADO ELETROLITICO, DIAMETRO DE 20 MM (3/4")</v>
          </cell>
          <cell r="E354" t="str">
            <v>UN</v>
          </cell>
          <cell r="F354">
            <v>2.5</v>
          </cell>
        </row>
        <row r="355">
          <cell r="B355">
            <v>2637</v>
          </cell>
          <cell r="C355" t="str">
            <v>SINAPI (INSUMO)</v>
          </cell>
          <cell r="D355" t="str">
            <v xml:space="preserve">LUVA PARA ELETRODUTO, EM ACO GALVANIZADO ELETROLITICO, DIAMETRO DE 20 MM (3/4") </v>
          </cell>
          <cell r="E355" t="str">
            <v>UN</v>
          </cell>
          <cell r="F355">
            <v>0.94</v>
          </cell>
        </row>
        <row r="356">
          <cell r="B356">
            <v>7572</v>
          </cell>
          <cell r="C356" t="str">
            <v>SINAPI (INSUMO)</v>
          </cell>
          <cell r="D356" t="str">
            <v>SUPORTE ISOLADOR REFORCADO DIAMETRO NOMINAL 5/16", COM ROSCA SOBERBA E BUCHA</v>
          </cell>
          <cell r="E356" t="str">
            <v>UN</v>
          </cell>
          <cell r="F356">
            <v>5.37</v>
          </cell>
        </row>
        <row r="357">
          <cell r="B357">
            <v>3396</v>
          </cell>
          <cell r="C357" t="str">
            <v>SINAPI (INSUMO)</v>
          </cell>
          <cell r="D357" t="str">
            <v xml:space="preserve">SUPORTE ISOLADOR SIMPLES DIAMETRO NOMINAL 5/16", COM ROSCA SOBERBA E BUCHA </v>
          </cell>
          <cell r="E357" t="str">
            <v>UN</v>
          </cell>
          <cell r="F357">
            <v>3.8</v>
          </cell>
        </row>
        <row r="358">
          <cell r="B358">
            <v>11855</v>
          </cell>
          <cell r="C358" t="str">
            <v>SINAPI (INSUMO)</v>
          </cell>
          <cell r="D358" t="str">
            <v xml:space="preserve">CONECTOR METALICO TIPO PARAFUSO FENDIDO (SPLIT BOLT), PARA CABOS ATE 70 MM2 </v>
          </cell>
          <cell r="E358" t="str">
            <v>UN</v>
          </cell>
          <cell r="F358">
            <v>8.14</v>
          </cell>
        </row>
        <row r="359">
          <cell r="B359">
            <v>2609</v>
          </cell>
          <cell r="C359" t="str">
            <v>SINAPI (INSUMO)</v>
          </cell>
          <cell r="D359" t="str">
            <v>CURVA 45 GRAUS, PARA ELETRODUTO, EM ACO GALVANIZADO ELETROLITICO, DIAMETRO DE 20 MM (3/4")</v>
          </cell>
          <cell r="E359" t="str">
            <v>UN</v>
          </cell>
          <cell r="F359">
            <v>2.4700000000000002</v>
          </cell>
        </row>
        <row r="360">
          <cell r="B360">
            <v>2634</v>
          </cell>
          <cell r="C360" t="str">
            <v>SINAPI (INSUMO)</v>
          </cell>
          <cell r="D360" t="str">
            <v>CURVA 45 GRAUS, PARA ELETRODUTO, EM ACO GALVANIZADO ELETROLITICO, DIAMETRO DE 25 MM (1")</v>
          </cell>
          <cell r="E360" t="str">
            <v>UN</v>
          </cell>
          <cell r="F360">
            <v>3.24</v>
          </cell>
        </row>
        <row r="361">
          <cell r="B361">
            <v>2633</v>
          </cell>
          <cell r="C361" t="str">
            <v>SINAPI (INSUMO)</v>
          </cell>
          <cell r="D361" t="str">
            <v>CURVA 90 GRAUS, PARA ELETRODUTO, EM ACO GALVANIZADO ELETROLITICO, DIAMETRO DE 20 MM (3/4")</v>
          </cell>
          <cell r="E361" t="str">
            <v>UN</v>
          </cell>
          <cell r="F361">
            <v>2.5</v>
          </cell>
        </row>
        <row r="362">
          <cell r="B362">
            <v>2617</v>
          </cell>
          <cell r="C362" t="str">
            <v>SINAPI (INSUMO)</v>
          </cell>
          <cell r="D362" t="str">
            <v>CURVA 90 GRAUS, PARA ELETRODUTO, EM ACO GALVANIZADO ELETROLITICO, DIAMETRO DE 25 MM (1")</v>
          </cell>
          <cell r="E362" t="str">
            <v>UN</v>
          </cell>
          <cell r="F362">
            <v>3.4</v>
          </cell>
        </row>
        <row r="363">
          <cell r="B363">
            <v>2637</v>
          </cell>
          <cell r="C363" t="str">
            <v>SINAPI (INSUMO)</v>
          </cell>
          <cell r="D363" t="str">
            <v xml:space="preserve">LUVA PARA ELETRODUTO, EM ACO GALVANIZADO ELETROLITICO, DIAMETRO DE 20 MM (3/4") </v>
          </cell>
          <cell r="E363" t="str">
            <v>UN</v>
          </cell>
          <cell r="F363">
            <v>0.94</v>
          </cell>
        </row>
        <row r="364">
          <cell r="B364">
            <v>2638</v>
          </cell>
          <cell r="C364" t="str">
            <v>SINAPI (INSUMO)</v>
          </cell>
          <cell r="D364" t="str">
            <v xml:space="preserve">LUVA PARA ELETRODUTO, EM ACO GALVANIZADO ELETROLITICO, DIAMETRO DE 25 MM (1") </v>
          </cell>
          <cell r="E364" t="str">
            <v>UN</v>
          </cell>
          <cell r="F364">
            <v>1.1000000000000001</v>
          </cell>
        </row>
        <row r="365">
          <cell r="B365">
            <v>2570</v>
          </cell>
          <cell r="C365" t="str">
            <v>SINAPI (INSUMO)</v>
          </cell>
          <cell r="D365" t="str">
            <v xml:space="preserve">CONDULETE DE ALUMINIO TIPO LR, PARA ELETRODUTO ROSCAVEL DE 1", COM TAMPA CEGA </v>
          </cell>
          <cell r="E365" t="str">
            <v>UN</v>
          </cell>
          <cell r="F365">
            <v>9.4600000000000009</v>
          </cell>
        </row>
        <row r="366">
          <cell r="B366">
            <v>10743</v>
          </cell>
          <cell r="C366" t="str">
            <v>SINAPI (INSUMO)</v>
          </cell>
          <cell r="D366" t="str">
            <v xml:space="preserve">TROLEY MANUAL CAPACIDADE 1 T </v>
          </cell>
          <cell r="E366" t="str">
            <v>UN</v>
          </cell>
          <cell r="F366">
            <v>446.99</v>
          </cell>
        </row>
        <row r="367">
          <cell r="B367">
            <v>9872</v>
          </cell>
          <cell r="C367" t="str">
            <v>SINAPI (INSUMO)</v>
          </cell>
          <cell r="D367" t="str">
            <v xml:space="preserve">TUBO PVC, SOLDAVEL, DN 85 MM, AGUA FRIA (NBR-5648) </v>
          </cell>
          <cell r="E367" t="str">
            <v>M</v>
          </cell>
          <cell r="F367">
            <v>28.96</v>
          </cell>
        </row>
        <row r="368">
          <cell r="B368">
            <v>3866</v>
          </cell>
          <cell r="C368" t="str">
            <v>SINAPI (INSUMO)</v>
          </cell>
          <cell r="D368" t="str">
            <v xml:space="preserve">LUVA PVC SOLDAVEL, 85 MM, PARA AGUA FRIA PREDIAL </v>
          </cell>
          <cell r="E368" t="str">
            <v>UN</v>
          </cell>
          <cell r="F368">
            <v>27.78</v>
          </cell>
        </row>
        <row r="369">
          <cell r="B369">
            <v>817</v>
          </cell>
          <cell r="C369" t="str">
            <v>SINAPI (INSUMO)</v>
          </cell>
          <cell r="D369" t="str">
            <v>BUCHA DE REDUCAO DE PVC, SOLDAVEL, LONGA, COM 85 X 60 MM, PARA AGUA FRIA PREDIAL</v>
          </cell>
          <cell r="E369" t="str">
            <v xml:space="preserve">UN </v>
          </cell>
          <cell r="F369">
            <v>14.34</v>
          </cell>
        </row>
        <row r="370">
          <cell r="B370">
            <v>818</v>
          </cell>
          <cell r="C370" t="str">
            <v>SINAPI (INSUMO)</v>
          </cell>
          <cell r="D370" t="str">
            <v>BUCHA DE REDUCAO DE PVC, SOLDAVEL, CURTA, COM 60 X 50 MM, PARA AGUA FRIA PREDIAL</v>
          </cell>
          <cell r="E370" t="str">
            <v xml:space="preserve">UN </v>
          </cell>
          <cell r="F370">
            <v>4.68</v>
          </cell>
        </row>
        <row r="371">
          <cell r="B371">
            <v>9875</v>
          </cell>
          <cell r="C371" t="str">
            <v>SINAPI (INSUMO)</v>
          </cell>
          <cell r="D371" t="str">
            <v xml:space="preserve">TUBO PVC, SOLDAVEL, DN 50 MM, PARA AGUA FRIA (NBR-5648) </v>
          </cell>
          <cell r="E371" t="str">
            <v>M</v>
          </cell>
          <cell r="F371">
            <v>10.51</v>
          </cell>
        </row>
        <row r="372">
          <cell r="B372">
            <v>3540</v>
          </cell>
          <cell r="C372" t="str">
            <v>SINAPI (INSUMO)</v>
          </cell>
          <cell r="D372" t="str">
            <v xml:space="preserve">JOELHO PVC, SOLDAVEL, 90 GRAUS, 50 MM, PARA AGUA FRIA PREDIAL </v>
          </cell>
          <cell r="E372" t="str">
            <v xml:space="preserve">UN </v>
          </cell>
          <cell r="F372">
            <v>4.63</v>
          </cell>
        </row>
        <row r="373">
          <cell r="B373">
            <v>7142</v>
          </cell>
          <cell r="C373" t="str">
            <v>SINAPI (INSUMO)</v>
          </cell>
          <cell r="D373" t="str">
            <v xml:space="preserve">TE SOLDAVEL, PVC, 90 GRAUS,50 MM, PARA AGUA FRIA PREDIAL (NBR 5648) </v>
          </cell>
          <cell r="E373" t="str">
            <v xml:space="preserve">UN </v>
          </cell>
          <cell r="F373">
            <v>8</v>
          </cell>
        </row>
        <row r="374">
          <cell r="B374">
            <v>3503</v>
          </cell>
          <cell r="C374" t="str">
            <v>SINAPI (INSUMO)</v>
          </cell>
          <cell r="D374" t="str">
            <v>JOELHO, PVC SOLDAVEL, 45 GRAUS, 50 MM, PARA AGUA FRIA PREDIAL</v>
          </cell>
          <cell r="E374" t="str">
            <v xml:space="preserve">UN </v>
          </cell>
          <cell r="F374">
            <v>5.68</v>
          </cell>
        </row>
        <row r="375">
          <cell r="B375">
            <v>50</v>
          </cell>
          <cell r="C375" t="str">
            <v>SINAPI (INSUMO)</v>
          </cell>
          <cell r="D375" t="str">
            <v xml:space="preserve">ADAPTADOR, PVC PBA, A BOLSA DEFOFO, JE, DN 75 / DE 85 MM </v>
          </cell>
          <cell r="E375" t="str">
            <v xml:space="preserve">UN </v>
          </cell>
          <cell r="F375">
            <v>39.090000000000003</v>
          </cell>
        </row>
        <row r="376">
          <cell r="B376">
            <v>2559</v>
          </cell>
          <cell r="C376" t="str">
            <v>SINAPI (INSUMO)</v>
          </cell>
          <cell r="D376" t="str">
            <v>CONDULETE DE ALUMINIO TIPO C, PARA ELETRODUTO ROSCAVEL DE 3/4", COM TAMPA CEGA</v>
          </cell>
          <cell r="E376" t="str">
            <v xml:space="preserve">UN </v>
          </cell>
          <cell r="F376">
            <v>7.19</v>
          </cell>
        </row>
        <row r="377">
          <cell r="B377">
            <v>2633</v>
          </cell>
          <cell r="C377" t="str">
            <v>SINAPI (INSUMO)</v>
          </cell>
          <cell r="D377" t="str">
            <v>CURVA 90 GRAUS, PARA ELETRODUTO, EM ACO GALVANIZADO ELETROLITICO, DIAMETRO DE 20 MM (3/4")</v>
          </cell>
          <cell r="E377" t="str">
            <v xml:space="preserve">UN </v>
          </cell>
          <cell r="F377">
            <v>2.5</v>
          </cell>
        </row>
        <row r="378">
          <cell r="B378">
            <v>3757</v>
          </cell>
          <cell r="C378" t="str">
            <v>SINAPI (INSUMO)</v>
          </cell>
          <cell r="D378" t="str">
            <v xml:space="preserve"> LAMPADA VAPOR DE SODIO OVOIDE 250 W (BASE E40) </v>
          </cell>
          <cell r="E378" t="str">
            <v xml:space="preserve">UN </v>
          </cell>
          <cell r="F378">
            <v>43.43</v>
          </cell>
        </row>
        <row r="379">
          <cell r="B379">
            <v>2567</v>
          </cell>
          <cell r="C379" t="str">
            <v>SINAPI (INSUMO)</v>
          </cell>
          <cell r="D379" t="str">
            <v xml:space="preserve">CONDULETE DE ALUMINIO TIPO E, PARA ELETRODUTO ROSCAVEL DE 2", COM TAMPA CEGA </v>
          </cell>
          <cell r="E379" t="str">
            <v xml:space="preserve">UN </v>
          </cell>
          <cell r="F379">
            <v>23.38</v>
          </cell>
        </row>
        <row r="380">
          <cell r="B380">
            <v>10414</v>
          </cell>
          <cell r="C380" t="str">
            <v>SINAPI (INSUMO)</v>
          </cell>
          <cell r="D380" t="str">
            <v>VALVULA DE RETENCAO VERTICAL, DE BRONZE (PN-16), 3", 200 PSI, EXTREMIDADES COM ROSCA</v>
          </cell>
          <cell r="E380" t="str">
            <v xml:space="preserve">UN </v>
          </cell>
          <cell r="F380">
            <v>174.58</v>
          </cell>
        </row>
        <row r="381">
          <cell r="B381">
            <v>21015</v>
          </cell>
          <cell r="C381" t="str">
            <v>SINAPI (INSUMO)</v>
          </cell>
          <cell r="D381" t="str">
            <v>TUBO ACO GALVANIZADO COM COSTURA, CLASSE LEVE, DN 80 MM ( 3"), E = 3,35 MM, *7,32* KG/M (NBR 5580)</v>
          </cell>
          <cell r="E381" t="str">
            <v xml:space="preserve">UN </v>
          </cell>
          <cell r="F381">
            <v>54.19</v>
          </cell>
        </row>
        <row r="382">
          <cell r="B382">
            <v>21015</v>
          </cell>
          <cell r="C382" t="str">
            <v>SINAPI (INSUMO)</v>
          </cell>
          <cell r="D382" t="str">
            <v>TUBO ACO GALVANIZADO COM COSTURA, CLASSE LEVE, DN 75 MM ( 3"), E = 3,35 MM, *7,32* KG/M (NBR 5580)</v>
          </cell>
          <cell r="E382" t="str">
            <v xml:space="preserve">UN </v>
          </cell>
          <cell r="F382">
            <v>54.19</v>
          </cell>
        </row>
        <row r="383">
          <cell r="B383">
            <v>12429</v>
          </cell>
          <cell r="C383" t="str">
            <v>SINAPI (INSUMO)</v>
          </cell>
          <cell r="D383" t="str">
            <v xml:space="preserve">UNIAO COM ASSENTO CONICO DE BRONZE, DIAMETRO 3" </v>
          </cell>
          <cell r="E383" t="str">
            <v xml:space="preserve">UN </v>
          </cell>
          <cell r="F383">
            <v>232.28</v>
          </cell>
        </row>
        <row r="384">
          <cell r="B384">
            <v>2559</v>
          </cell>
          <cell r="C384" t="str">
            <v>SINAPI (INSUMO)</v>
          </cell>
          <cell r="D384" t="str">
            <v>CONDULETE DE ALUMINIO TIPO C, PARA ELETRODUTO ROSCAVEL DE 3/4", COM TAMPA CEGA</v>
          </cell>
          <cell r="E384" t="str">
            <v xml:space="preserve">UN </v>
          </cell>
          <cell r="F384">
            <v>7.19</v>
          </cell>
        </row>
        <row r="385">
          <cell r="B385">
            <v>2567</v>
          </cell>
          <cell r="C385" t="str">
            <v>SINAPI (INSUMO)</v>
          </cell>
          <cell r="D385" t="str">
            <v xml:space="preserve">CONDULETE DE ALUMINIO TIPO E, PARA ELETRODUTO ROSCAVEL DE 2", COM TAMPA CEGA </v>
          </cell>
          <cell r="E385" t="str">
            <v xml:space="preserve">UN </v>
          </cell>
          <cell r="F385">
            <v>23.38</v>
          </cell>
        </row>
        <row r="386">
          <cell r="B386">
            <v>2633</v>
          </cell>
          <cell r="C386" t="str">
            <v>SINAPI (INSUMO)</v>
          </cell>
          <cell r="D386" t="str">
            <v>CURVA 90 GRAUS, PARA ELETRODUTO, EM ACO GALVANIZADO ELETROLITICO, DIAMETRO DE 20 MM (3/4")</v>
          </cell>
          <cell r="E386" t="str">
            <v xml:space="preserve">UN </v>
          </cell>
          <cell r="F386">
            <v>2.5</v>
          </cell>
        </row>
        <row r="387">
          <cell r="B387">
            <v>2631</v>
          </cell>
          <cell r="C387" t="str">
            <v>SINAPI (INSUMO)</v>
          </cell>
          <cell r="D387" t="str">
            <v>CURVA 90 GRAUS, PARA ELETRODUTO, EM ACO GALVANIZADO ELETROLITICO, DIAMETRO DE 50 MM (2")</v>
          </cell>
          <cell r="E387" t="str">
            <v xml:space="preserve">UN </v>
          </cell>
          <cell r="F387">
            <v>13.89</v>
          </cell>
        </row>
        <row r="388">
          <cell r="B388">
            <v>2567</v>
          </cell>
          <cell r="C388" t="str">
            <v>SINAPI (INSUMO)</v>
          </cell>
          <cell r="D388" t="str">
            <v xml:space="preserve">CONDULETE DE ALUMINIO TIPO E, PARA ELETRODUTO ROSCAVEL DE 2", COM TAMPA CEGA </v>
          </cell>
          <cell r="E388" t="str">
            <v xml:space="preserve">UN </v>
          </cell>
          <cell r="F388">
            <v>23.38</v>
          </cell>
        </row>
        <row r="389">
          <cell r="B389">
            <v>13418</v>
          </cell>
          <cell r="C389" t="str">
            <v>SINAPI (INSUMO)</v>
          </cell>
          <cell r="D389" t="str">
            <v>TORNEIRA CROMADA CURTA SEM BICO PARA TANQUE, PADRAO POPULAR, 1/2 " OU 3/4 " (REF 1140)</v>
          </cell>
          <cell r="E389" t="str">
            <v xml:space="preserve">UN </v>
          </cell>
          <cell r="F389">
            <v>13.26</v>
          </cell>
        </row>
        <row r="390">
          <cell r="B390">
            <v>6010</v>
          </cell>
          <cell r="C390" t="str">
            <v>SINAPI (INSUMO)</v>
          </cell>
          <cell r="D390" t="str">
            <v xml:space="preserve">REGISTRO GAVETA BRUTO EM LATAO FORJADO, BITOLA 1 1/2 " (REF 1509) </v>
          </cell>
          <cell r="E390" t="str">
            <v xml:space="preserve">UN </v>
          </cell>
          <cell r="F390">
            <v>54.77</v>
          </cell>
        </row>
        <row r="391">
          <cell r="B391">
            <v>9874</v>
          </cell>
          <cell r="C391" t="str">
            <v>SINAPI (INSUMO)</v>
          </cell>
          <cell r="D391" t="str">
            <v xml:space="preserve">TUBO PVC, SOLDAVEL, DN 40 MM, AGUA FRIA (NBR-5648) </v>
          </cell>
          <cell r="E391" t="str">
            <v>M</v>
          </cell>
          <cell r="F391">
            <v>8.4700000000000006</v>
          </cell>
        </row>
        <row r="392">
          <cell r="B392">
            <v>9870</v>
          </cell>
          <cell r="C392" t="str">
            <v>SINAPI (INSUMO)</v>
          </cell>
          <cell r="D392" t="str">
            <v xml:space="preserve">TUBO PVC, SOLDAVEL, DN 110 MM, AGUA FRIA (NBR-5648) </v>
          </cell>
          <cell r="E392" t="str">
            <v>M</v>
          </cell>
          <cell r="F392">
            <v>48.83</v>
          </cell>
        </row>
        <row r="393">
          <cell r="B393">
            <v>9875</v>
          </cell>
          <cell r="C393" t="str">
            <v>SINAPI (INSUMO)</v>
          </cell>
          <cell r="D393" t="str">
            <v xml:space="preserve">TUBO PVC, SOLDAVEL, DN 50 MM, PARA AGUA FRIA (NBR-5648) </v>
          </cell>
          <cell r="E393" t="str">
            <v>M</v>
          </cell>
          <cell r="F393">
            <v>10.51</v>
          </cell>
        </row>
        <row r="394">
          <cell r="B394">
            <v>3530</v>
          </cell>
          <cell r="C394" t="str">
            <v>SINAPI (INSUMO)</v>
          </cell>
          <cell r="D394" t="str">
            <v xml:space="preserve">JOELHO PVC, SOLDAVEL, 90 GRAUS, 110 MM, PARA AGUA FRIA PREDIAL </v>
          </cell>
          <cell r="E394" t="str">
            <v xml:space="preserve">UN </v>
          </cell>
          <cell r="F394">
            <v>175.85</v>
          </cell>
        </row>
        <row r="395">
          <cell r="B395">
            <v>3512</v>
          </cell>
          <cell r="C395" t="str">
            <v>SINAPI (INSUMO)</v>
          </cell>
          <cell r="D395" t="str">
            <v xml:space="preserve">JOELHO, PVC SOLDAVEL, 45 GRAUS, 110 MM, PARA AGUA FRIA PREDIAL </v>
          </cell>
          <cell r="E395" t="str">
            <v xml:space="preserve">UN </v>
          </cell>
          <cell r="F395">
            <v>160.78</v>
          </cell>
        </row>
        <row r="396">
          <cell r="B396">
            <v>7146</v>
          </cell>
          <cell r="C396" t="str">
            <v>SINAPI (INSUMO)</v>
          </cell>
          <cell r="D396" t="str">
            <v xml:space="preserve">TE SOLDAVEL, PVC, 90 GRAUS, 110 MM, PARA AGUA FRIA PREDIAL (NBR 5648) </v>
          </cell>
          <cell r="E396" t="str">
            <v xml:space="preserve">UN </v>
          </cell>
          <cell r="F396">
            <v>128.97999999999999</v>
          </cell>
        </row>
        <row r="397">
          <cell r="B397">
            <v>399</v>
          </cell>
          <cell r="C397" t="str">
            <v>SINAPI (INSUMO)</v>
          </cell>
          <cell r="D397" t="str">
            <v>ABRACADEIRA EM ACO PARA AMARRACAO DE ELETRODUTOS, TIPO D, COM 4" E PARAFUSO DE FIXACAO</v>
          </cell>
          <cell r="E397" t="str">
            <v xml:space="preserve">UN </v>
          </cell>
          <cell r="F397">
            <v>2.4700000000000002</v>
          </cell>
        </row>
        <row r="398">
          <cell r="B398">
            <v>21132</v>
          </cell>
          <cell r="C398" t="str">
            <v>SINAPI (INSUMO)</v>
          </cell>
          <cell r="D398" t="str">
            <v>ELETRODUTO EM ACO GALVANIZADO ELETROLITICO, PESADO, DIAMETRO 4", PAREDE DE 2,25 MM</v>
          </cell>
          <cell r="E398" t="str">
            <v>M</v>
          </cell>
          <cell r="F398">
            <v>55.71</v>
          </cell>
        </row>
        <row r="399">
          <cell r="B399">
            <v>2503</v>
          </cell>
          <cell r="C399" t="str">
            <v>SINAPI (INSUMO)</v>
          </cell>
          <cell r="D399" t="str">
            <v>ELETRODUTO FLEXIVEL, EM ACO GALVANIZADO, REVESTIDO EXTERNAMENTE COM PVC PRETO, DIAMETRO EXTERNO DE 50 MM( 1 1/2"), TIPO SEALTUBO</v>
          </cell>
          <cell r="E399" t="str">
            <v>M</v>
          </cell>
          <cell r="F399">
            <v>14.49</v>
          </cell>
        </row>
        <row r="400">
          <cell r="B400">
            <v>2637</v>
          </cell>
          <cell r="C400" t="str">
            <v>SINAPI (INSUMO)</v>
          </cell>
          <cell r="D400" t="str">
            <v xml:space="preserve">LUVA PARA ELETRODUTO, EM ACO GALVANIZADO ELETROLITICO, DIAMETRO DE 20 MM (3/4") </v>
          </cell>
          <cell r="E400" t="str">
            <v xml:space="preserve">UN </v>
          </cell>
          <cell r="F400">
            <v>0.94</v>
          </cell>
        </row>
        <row r="401">
          <cell r="B401">
            <v>2638</v>
          </cell>
          <cell r="C401" t="str">
            <v>SINAPI (INSUMO)</v>
          </cell>
          <cell r="D401" t="str">
            <v xml:space="preserve">LUVA PARA ELETRODUTO, EM ACO GALVANIZADO ELETROLITICO, DIAMETRO DE 25 MM (1") </v>
          </cell>
          <cell r="E401" t="str">
            <v xml:space="preserve">UN </v>
          </cell>
          <cell r="F401">
            <v>1.1000000000000001</v>
          </cell>
        </row>
        <row r="402">
          <cell r="B402">
            <v>2644</v>
          </cell>
          <cell r="C402" t="str">
            <v>SINAPI (INSUMO)</v>
          </cell>
          <cell r="D402" t="str">
            <v>LUVA PARA ELETRODUTO, EM ACO GALVANIZADO ELETROLITICO, DIAMETRO DE 40 MM (1 1/2")</v>
          </cell>
          <cell r="E402" t="str">
            <v xml:space="preserve">UN </v>
          </cell>
          <cell r="F402">
            <v>2.82</v>
          </cell>
        </row>
        <row r="403">
          <cell r="B403">
            <v>2643</v>
          </cell>
          <cell r="C403" t="str">
            <v>SINAPI (INSUMO)</v>
          </cell>
          <cell r="D403" t="str">
            <v xml:space="preserve">LUVA PARA ELETRODUTO, EM ACO GALVANIZADO ELETROLITICO, DIAMETRO DE 50 MM (2") </v>
          </cell>
          <cell r="E403" t="str">
            <v xml:space="preserve">UN </v>
          </cell>
          <cell r="F403">
            <v>3.93</v>
          </cell>
        </row>
        <row r="404">
          <cell r="B404">
            <v>2593</v>
          </cell>
          <cell r="C404" t="str">
            <v>SINAPI (INSUMO)</v>
          </cell>
          <cell r="D404" t="str">
            <v>CONDULETE DE ALUMINIO TIPO LR, PARA ELETRODUTO ROSCAVEL DE 3/4", COM TAMPA CEGA</v>
          </cell>
          <cell r="E404" t="str">
            <v xml:space="preserve">UN </v>
          </cell>
          <cell r="F404">
            <v>6.01</v>
          </cell>
        </row>
        <row r="405">
          <cell r="B405">
            <v>2570</v>
          </cell>
          <cell r="C405" t="str">
            <v>SINAPI (INSUMO)</v>
          </cell>
          <cell r="D405" t="str">
            <v xml:space="preserve">CONDULETE DE ALUMINIO TIPO LR, PARA ELETRODUTO ROSCAVEL DE 1", COM TAMPA CEGA </v>
          </cell>
          <cell r="E405" t="str">
            <v xml:space="preserve">UN </v>
          </cell>
          <cell r="F405">
            <v>9.4600000000000009</v>
          </cell>
        </row>
        <row r="406">
          <cell r="B406">
            <v>2587</v>
          </cell>
          <cell r="C406" t="str">
            <v>SINAPI (INSUMO)</v>
          </cell>
          <cell r="D406" t="str">
            <v>CONDULETE DE ALUMINIO TIPO LR, PARA ELETRODUTO ROSCAVEL DE 1 1/2", COM TAMPA CEGA</v>
          </cell>
          <cell r="E406" t="str">
            <v xml:space="preserve">UN </v>
          </cell>
          <cell r="F406">
            <v>18.43</v>
          </cell>
        </row>
        <row r="407">
          <cell r="B407">
            <v>2576</v>
          </cell>
          <cell r="C407" t="str">
            <v>SINAPI (INSUMO)</v>
          </cell>
          <cell r="D407" t="str">
            <v>CONDULETE DE ALUMINIO TIPO T, PARA ELETRODUTO ROSCAVEL DE 1 1/2", COM TAMPA CEGA</v>
          </cell>
          <cell r="E407" t="str">
            <v xml:space="preserve">UN </v>
          </cell>
          <cell r="F407">
            <v>22.09</v>
          </cell>
        </row>
        <row r="408">
          <cell r="B408">
            <v>2617</v>
          </cell>
          <cell r="C408" t="str">
            <v>SINAPI (INSUMO)</v>
          </cell>
          <cell r="D408" t="str">
            <v>CURVA 90 GRAUS, PARA ELETRODUTO, EM ACO GALVANIZADO ELETROLITICO, DIAMETRO DE 25 MM (1")</v>
          </cell>
          <cell r="E408" t="str">
            <v xml:space="preserve">UN </v>
          </cell>
          <cell r="F408">
            <v>3.4</v>
          </cell>
        </row>
        <row r="409">
          <cell r="B409">
            <v>2632</v>
          </cell>
          <cell r="C409" t="str">
            <v>SINAPI (INSUMO)</v>
          </cell>
          <cell r="D409" t="str">
            <v>CURVA 90 GRAUS, PARA ELETRODUTO, EM ACO GALVANIZADO ELETROLITICO, DIAMETRO DE 40 MM (1 1/2")</v>
          </cell>
          <cell r="E409" t="str">
            <v xml:space="preserve">UN </v>
          </cell>
          <cell r="F409">
            <v>9.4600000000000009</v>
          </cell>
        </row>
        <row r="410">
          <cell r="B410">
            <v>2631</v>
          </cell>
          <cell r="C410" t="str">
            <v>SINAPI (INSUMO)</v>
          </cell>
          <cell r="D410" t="str">
            <v>CURVA 90 GRAUS, PARA ELETRODUTO, EM ACO GALVANIZADO ELETROLITICO, DIAMETRO DE 50 MM (2")</v>
          </cell>
          <cell r="E410" t="str">
            <v xml:space="preserve">UN </v>
          </cell>
          <cell r="F410">
            <v>13.89</v>
          </cell>
        </row>
        <row r="411">
          <cell r="B411">
            <v>2621</v>
          </cell>
          <cell r="C411" t="str">
            <v>SINAPI (INSUMO)</v>
          </cell>
          <cell r="D411" t="str">
            <v>CURVA 90 GRAUS, PARA ELETRODUTO, EM ACO GALVANIZADO ELETROLITICO, DIAMETRO DE 100 MM (4")</v>
          </cell>
          <cell r="E411" t="str">
            <v xml:space="preserve">UN </v>
          </cell>
          <cell r="F411">
            <v>78.3</v>
          </cell>
        </row>
        <row r="412">
          <cell r="B412">
            <v>7572</v>
          </cell>
          <cell r="C412" t="str">
            <v>SINAPI (INSUMO)</v>
          </cell>
          <cell r="D412" t="str">
            <v>SUPORTE ISOLADOR REFORCADO DIAMETRO NOMINAL 5/16", COM ROSCA SOBERBA E BUCHA</v>
          </cell>
          <cell r="E412" t="str">
            <v xml:space="preserve">UN </v>
          </cell>
          <cell r="F412">
            <v>5.37</v>
          </cell>
        </row>
        <row r="413">
          <cell r="B413">
            <v>3396</v>
          </cell>
          <cell r="C413" t="str">
            <v>SINAPI (INSUMO)</v>
          </cell>
          <cell r="D413" t="str">
            <v xml:space="preserve">SUPORTE ISOLADOR SIMPLES DIAMETRO NOMINAL 5/16", COM ROSCA SOBERBA E BUCHA </v>
          </cell>
          <cell r="E413" t="str">
            <v xml:space="preserve">UN </v>
          </cell>
          <cell r="F413">
            <v>3.8</v>
          </cell>
        </row>
        <row r="414">
          <cell r="B414">
            <v>11864</v>
          </cell>
          <cell r="C414" t="str">
            <v>SINAPI (INSUMO)</v>
          </cell>
          <cell r="D414" t="str">
            <v xml:space="preserve">CONECTOR METALICO TIPO PARAFUSO FENDIDO (SPLIT BOLT), PARA CABOS ATE 95 MM2 </v>
          </cell>
          <cell r="E414" t="str">
            <v xml:space="preserve">UN </v>
          </cell>
          <cell r="F414">
            <v>12.31</v>
          </cell>
        </row>
        <row r="415">
          <cell r="B415">
            <v>9828</v>
          </cell>
          <cell r="C415" t="str">
            <v>SINAPI (INSUMO)</v>
          </cell>
          <cell r="D415" t="str">
            <v xml:space="preserve">TUBO PVC DEFOFO, JEI, 1 MPA, DN 150 MM, PARA REDEDE AGUA (NBR 7665) </v>
          </cell>
          <cell r="E415" t="str">
            <v>M</v>
          </cell>
          <cell r="F415">
            <v>62</v>
          </cell>
        </row>
        <row r="416">
          <cell r="B416">
            <v>7744</v>
          </cell>
          <cell r="C416" t="str">
            <v>SINAPI (INSUMO)</v>
          </cell>
          <cell r="D416" t="str">
            <v>TUBO CONCRETO ARMADO, CLASSE EA-2, PB JE, DN 700 MM, PARA ESGOTO SANITARIO (NBR 8890)</v>
          </cell>
          <cell r="E416" t="str">
            <v>M</v>
          </cell>
          <cell r="F416">
            <v>182.17</v>
          </cell>
        </row>
        <row r="417">
          <cell r="B417">
            <v>9828</v>
          </cell>
          <cell r="C417" t="str">
            <v>SINAPI (INSUMO)</v>
          </cell>
          <cell r="D417" t="str">
            <v xml:space="preserve">TUBO PVC DEFOFO, JEI, 1 MPA, DN 150 MM, PARA REDEDE AGUA (NBR 7665) </v>
          </cell>
          <cell r="E417" t="str">
            <v>M</v>
          </cell>
          <cell r="F417">
            <v>62</v>
          </cell>
        </row>
        <row r="418">
          <cell r="B418">
            <v>9867</v>
          </cell>
          <cell r="C418" t="str">
            <v>SINAPI (INSUMO)</v>
          </cell>
          <cell r="D418" t="str">
            <v xml:space="preserve">TUBO PVC, SOLDAVEL, DN 20 MM, AGUA FRIA (NBR-5648) </v>
          </cell>
          <cell r="E418" t="str">
            <v>M</v>
          </cell>
          <cell r="F418">
            <v>2.04</v>
          </cell>
        </row>
        <row r="419">
          <cell r="B419">
            <v>1955</v>
          </cell>
          <cell r="C419" t="str">
            <v>SINAPI (INSUMO)</v>
          </cell>
          <cell r="D419" t="str">
            <v xml:space="preserve">CURVA DE PVC 90 GRAUS, SOLDAVEL, 20 MM, PARA AGUA FRIA PREDIAL (NBR 5648) </v>
          </cell>
          <cell r="E419" t="str">
            <v xml:space="preserve">UN </v>
          </cell>
          <cell r="F419">
            <v>1.42</v>
          </cell>
        </row>
        <row r="420">
          <cell r="B420">
            <v>1926</v>
          </cell>
          <cell r="C420" t="str">
            <v>SINAPI (INSUMO)</v>
          </cell>
          <cell r="D420" t="str">
            <v xml:space="preserve">CURVA DE PVC 45 GRAUS, SOLDAVEL, 20 MM, PARA AGUA FRIA PREDIAL (NBR 5648) </v>
          </cell>
          <cell r="E420" t="str">
            <v xml:space="preserve">UN </v>
          </cell>
          <cell r="F420">
            <v>1.35</v>
          </cell>
        </row>
        <row r="421">
          <cell r="B421">
            <v>3859</v>
          </cell>
          <cell r="C421" t="str">
            <v>SINAPI (INSUMO)</v>
          </cell>
          <cell r="D421" t="str">
            <v xml:space="preserve">LUVA SOLDAVEL COM ROSCA, PVC, 20 MM X 1/2", PARA AGUA FRIA PREDIAL </v>
          </cell>
          <cell r="E421" t="str">
            <v xml:space="preserve">UN </v>
          </cell>
          <cell r="F421">
            <v>0.85</v>
          </cell>
        </row>
        <row r="422">
          <cell r="B422">
            <v>3855</v>
          </cell>
          <cell r="C422" t="str">
            <v>SINAPI (INSUMO)</v>
          </cell>
          <cell r="D422" t="str">
            <v xml:space="preserve">LUVA SOLDAVEL COM BUCHA DE LATAO, PVC, 20 MM X 1/2" </v>
          </cell>
          <cell r="E422" t="str">
            <v xml:space="preserve">UN </v>
          </cell>
          <cell r="F422">
            <v>3.49</v>
          </cell>
        </row>
        <row r="423">
          <cell r="B423">
            <v>21090</v>
          </cell>
          <cell r="C423" t="str">
            <v>SINAPI (INSUMO)</v>
          </cell>
          <cell r="D423" t="str">
            <v>TAMPAO FOFO ARTICULADO, CLASSE D400 CARGA MAX 40 T, REDONDO TAMPA *600 MM, REDE PLUVIAL/ESGOTO</v>
          </cell>
          <cell r="E423" t="str">
            <v xml:space="preserve">UN </v>
          </cell>
          <cell r="F423">
            <v>411.39</v>
          </cell>
        </row>
        <row r="424">
          <cell r="B424">
            <v>21015</v>
          </cell>
          <cell r="C424" t="str">
            <v>SINAPI (INSUMO)</v>
          </cell>
          <cell r="D424" t="str">
            <v>TUBO ACO GALVANIZADO COM COSTURA, CLASSE LEVE, DN 80 MM ( 3"), E = 3,35 MM, *7,32* KG/M (NBR 5580)</v>
          </cell>
          <cell r="E424" t="str">
            <v>M</v>
          </cell>
          <cell r="F424">
            <v>54.19</v>
          </cell>
        </row>
        <row r="425">
          <cell r="B425">
            <v>12429</v>
          </cell>
          <cell r="C425" t="str">
            <v>SINAPI (INSUMO)</v>
          </cell>
          <cell r="D425" t="str">
            <v xml:space="preserve"> UNIAO COM ASSENTO CONICO DE BRONZE, DIAMETRO 3" </v>
          </cell>
          <cell r="E425" t="str">
            <v xml:space="preserve">UN </v>
          </cell>
          <cell r="F425">
            <v>232.28</v>
          </cell>
        </row>
        <row r="426">
          <cell r="B426">
            <v>6322</v>
          </cell>
          <cell r="C426" t="str">
            <v>SINAPI (INSUMO)</v>
          </cell>
          <cell r="D426" t="str">
            <v xml:space="preserve">TE DE FERRO GALVANIZADO, DE 3" </v>
          </cell>
          <cell r="E426" t="str">
            <v xml:space="preserve">UN </v>
          </cell>
          <cell r="F426">
            <v>93.58</v>
          </cell>
        </row>
        <row r="427">
          <cell r="B427">
            <v>2510</v>
          </cell>
          <cell r="C427" t="str">
            <v>SINAPI (INSUMO)</v>
          </cell>
          <cell r="D427" t="str">
            <v xml:space="preserve">RELE FOTOELETRICO INTERNO E EXTERNO BIVOLT 1000 W, DE CONECTOR, SEM BASE </v>
          </cell>
          <cell r="E427" t="str">
            <v xml:space="preserve">UN </v>
          </cell>
          <cell r="F427">
            <v>14.86</v>
          </cell>
        </row>
        <row r="428">
          <cell r="B428">
            <v>21132</v>
          </cell>
          <cell r="C428" t="str">
            <v>SINAPI (INSUMO)</v>
          </cell>
          <cell r="D428" t="str">
            <v>ELETRODUTO EM ACO GALVANIZADO ELETROLITICO, PESADO, DIAMETRO 4", PAREDE DE 2,25 MM</v>
          </cell>
          <cell r="E428" t="str">
            <v>M</v>
          </cell>
          <cell r="F428">
            <v>55.71</v>
          </cell>
        </row>
        <row r="429">
          <cell r="B429">
            <v>2503</v>
          </cell>
          <cell r="C429" t="str">
            <v>SINAPI (INSUMO)</v>
          </cell>
          <cell r="D429" t="str">
            <v>ELETRODUTO FLEXIVEL, EM ACO GALVANIZADO, REVESTIDO EXTERNAMENTE COM PVC PRETO, DIAMETRO EXTERNO DE 50 MM( 1 1/2"), TIPO SEALTUBO</v>
          </cell>
          <cell r="E429" t="str">
            <v>M</v>
          </cell>
          <cell r="F429">
            <v>14.49</v>
          </cell>
        </row>
        <row r="430">
          <cell r="B430">
            <v>2637</v>
          </cell>
          <cell r="C430" t="str">
            <v>SINAPI (INSUMO)</v>
          </cell>
          <cell r="D430" t="str">
            <v xml:space="preserve">LUVA PARA ELETRODUTO, EM ACO GALVANIZADO ELETROLITICO, DIAMETRO DE 20 MM (3/4") </v>
          </cell>
          <cell r="E430" t="str">
            <v xml:space="preserve">UN </v>
          </cell>
          <cell r="F430">
            <v>0.94</v>
          </cell>
        </row>
        <row r="431">
          <cell r="B431">
            <v>2638</v>
          </cell>
          <cell r="C431" t="str">
            <v>SINAPI (INSUMO)</v>
          </cell>
          <cell r="D431" t="str">
            <v xml:space="preserve">LUVA PARA ELETRODUTO, EM ACO GALVANIZADO ELETROLITICO, DIAMETRO DE 25 MM (1") </v>
          </cell>
          <cell r="E431" t="str">
            <v xml:space="preserve">UN </v>
          </cell>
          <cell r="F431">
            <v>1.1000000000000001</v>
          </cell>
        </row>
        <row r="432">
          <cell r="B432">
            <v>2643</v>
          </cell>
          <cell r="C432" t="str">
            <v>SINAPI (INSUMO)</v>
          </cell>
          <cell r="D432" t="str">
            <v xml:space="preserve">LUVA PARA ELETRODUTO, EM ACO GALVANIZADO ELETROLITICO, DIAMETRO DE 50 MM (2") </v>
          </cell>
          <cell r="E432" t="str">
            <v xml:space="preserve">UN </v>
          </cell>
          <cell r="F432">
            <v>3.93</v>
          </cell>
        </row>
        <row r="433">
          <cell r="B433">
            <v>2633</v>
          </cell>
          <cell r="C433" t="str">
            <v>SINAPI (INSUMO)</v>
          </cell>
          <cell r="D433" t="str">
            <v>CURVA 90 GRAUS, PARA ELETRODUTO, EM ACO GALVANIZADO ELETROLITICO, DIAMETRO DE 20 MM (3/4")</v>
          </cell>
          <cell r="E433" t="str">
            <v xml:space="preserve">UN </v>
          </cell>
          <cell r="F433">
            <v>2.5</v>
          </cell>
        </row>
        <row r="434">
          <cell r="B434">
            <v>2617</v>
          </cell>
          <cell r="C434" t="str">
            <v>SINAPI (INSUMO)</v>
          </cell>
          <cell r="D434" t="str">
            <v>CURVA 90 GRAUS, PARA ELETRODUTO, EM ACO GALVANIZADO ELETROLITICO, DIAMETRO DE 25 MM (1")</v>
          </cell>
          <cell r="E434" t="str">
            <v xml:space="preserve">UN </v>
          </cell>
          <cell r="F434">
            <v>3.4</v>
          </cell>
        </row>
        <row r="435">
          <cell r="B435">
            <v>2631</v>
          </cell>
          <cell r="C435" t="str">
            <v>SINAPI (INSUMO)</v>
          </cell>
          <cell r="D435" t="str">
            <v>CURVA 90 GRAUS, PARA ELETRODUTO, EM ACO GALVANIZADO ELETROLITICO, DIAMETRO DE 50 MM (2")</v>
          </cell>
          <cell r="E435" t="str">
            <v xml:space="preserve">UN </v>
          </cell>
          <cell r="F435">
            <v>13.89</v>
          </cell>
        </row>
        <row r="436">
          <cell r="B436">
            <v>2571</v>
          </cell>
          <cell r="C436" t="str">
            <v>SINAPI (INSUMO)</v>
          </cell>
          <cell r="D436" t="str">
            <v xml:space="preserve">CONDULETE DE ALUMINIO TIPO LR, PARA ELETRODUTO ROSCAVEL DE 2", COM TAMPA CEGA </v>
          </cell>
          <cell r="E436" t="str">
            <v xml:space="preserve">UN </v>
          </cell>
          <cell r="F436">
            <v>28.08</v>
          </cell>
        </row>
        <row r="437">
          <cell r="B437">
            <v>2577</v>
          </cell>
          <cell r="C437" t="str">
            <v>SINAPI (INSUMO)</v>
          </cell>
          <cell r="D437" t="str">
            <v xml:space="preserve">CONDULETE DE ALUMINIO TIPO T, PARA ELETRODUTO ROSCAVEL DE 2", COM TAMPA CEGA </v>
          </cell>
          <cell r="E437" t="str">
            <v xml:space="preserve">UN </v>
          </cell>
          <cell r="F437">
            <v>29.93</v>
          </cell>
        </row>
        <row r="438">
          <cell r="B438">
            <v>400</v>
          </cell>
          <cell r="C438" t="str">
            <v>SINAPI (INSUMO)</v>
          </cell>
          <cell r="D438" t="str">
            <v>ABRACADEIRA EM ACO PARA AMARRACAO DE ELETRODUTOS, TIPO D, COM 3/4" E PARAFUSO DE FIXACAO</v>
          </cell>
          <cell r="E438" t="str">
            <v xml:space="preserve">UN </v>
          </cell>
          <cell r="F438">
            <v>0.61</v>
          </cell>
        </row>
        <row r="439">
          <cell r="B439">
            <v>393</v>
          </cell>
          <cell r="C439" t="str">
            <v>SINAPI (INSUMO)</v>
          </cell>
          <cell r="D439" t="str">
            <v>ABRACADEIRA EM ACO PARA AMARRACAO DE ELETRODUTOS, TIPO D, COM 1" E PARAFUSO DE FIXACAO</v>
          </cell>
          <cell r="E439" t="str">
            <v xml:space="preserve">UN </v>
          </cell>
          <cell r="F439">
            <v>0.7</v>
          </cell>
        </row>
        <row r="440">
          <cell r="B440">
            <v>394</v>
          </cell>
          <cell r="C440" t="str">
            <v>SINAPI (INSUMO)</v>
          </cell>
          <cell r="D440" t="str">
            <v>ABRACADEIRA EM ACO PARA AMARRACAO DE ELETRODUTOS, TIPO D, COM 1 1/2" E PARAFUSO DE FIXACAO</v>
          </cell>
          <cell r="E440" t="str">
            <v xml:space="preserve">UN </v>
          </cell>
          <cell r="F440">
            <v>1.2</v>
          </cell>
        </row>
        <row r="441">
          <cell r="B441">
            <v>396</v>
          </cell>
          <cell r="C441" t="str">
            <v>SINAPI (INSUMO)</v>
          </cell>
          <cell r="D441" t="str">
            <v>ABRACADEIRA EM ACO PARA AMARRACAO DE ELETRODUTOS, TIPO D, COM 2" E PARAFUSO DE FIXACAO</v>
          </cell>
          <cell r="E441" t="str">
            <v xml:space="preserve">UN </v>
          </cell>
          <cell r="F441">
            <v>1.34</v>
          </cell>
        </row>
        <row r="442">
          <cell r="B442">
            <v>399</v>
          </cell>
          <cell r="C442" t="str">
            <v>SINAPI (INSUMO)</v>
          </cell>
          <cell r="D442" t="str">
            <v>ABRACADEIRA EM ACO PARA AMARRACAO DE ELETRODUTOS, TIPO D, COM 4" E PARAFUSO DE FIXACAO</v>
          </cell>
          <cell r="E442" t="str">
            <v xml:space="preserve">UN </v>
          </cell>
          <cell r="F442">
            <v>2.4700000000000002</v>
          </cell>
        </row>
        <row r="443">
          <cell r="B443">
            <v>1599</v>
          </cell>
          <cell r="C443" t="str">
            <v>SINAPI (INSUMO)</v>
          </cell>
          <cell r="D443" t="str">
            <v>CONECTOR DE ALUMINIO TIPO PRENSA CABO, BITOLA 3/4", PARA CABOS DE DIAMETRO DE 17,5 A 20 MM</v>
          </cell>
          <cell r="E443" t="str">
            <v xml:space="preserve">UN </v>
          </cell>
          <cell r="F443">
            <v>5.75</v>
          </cell>
        </row>
        <row r="444">
          <cell r="B444">
            <v>1603</v>
          </cell>
          <cell r="C444" t="str">
            <v>SINAPI (INSUMO)</v>
          </cell>
          <cell r="D444" t="str">
            <v>CONECTOR DE ALUMINIO TIPO PRENSA CABO, BITOLA 2", PARA CABOS DE DIAMETRO DE 47,5 A 50 MM</v>
          </cell>
          <cell r="E444" t="str">
            <v xml:space="preserve">UN </v>
          </cell>
          <cell r="F444">
            <v>28.4</v>
          </cell>
        </row>
        <row r="445">
          <cell r="B445">
            <v>7572</v>
          </cell>
          <cell r="C445" t="str">
            <v>SINAPI (INSUMO)</v>
          </cell>
          <cell r="D445" t="str">
            <v>SUPORTE ISOLADOR REFORCADO DIAMETRO NOMINAL 5/16", COM ROSCA SOBERBA E BUCHA</v>
          </cell>
          <cell r="E445" t="str">
            <v xml:space="preserve">UN </v>
          </cell>
          <cell r="F445">
            <v>5.37</v>
          </cell>
        </row>
        <row r="446">
          <cell r="B446">
            <v>3396</v>
          </cell>
          <cell r="C446" t="str">
            <v>SINAPI (INSUMO)</v>
          </cell>
          <cell r="D446" t="str">
            <v xml:space="preserve">SUPORTE ISOLADOR SIMPLES DIAMETRO NOMINAL 5/16", COM ROSCA SOBERBA E BUCHA </v>
          </cell>
          <cell r="E446" t="str">
            <v xml:space="preserve">UN </v>
          </cell>
          <cell r="F446">
            <v>3.8</v>
          </cell>
        </row>
        <row r="447">
          <cell r="B447">
            <v>11864</v>
          </cell>
          <cell r="C447" t="str">
            <v>SINAPI (INSUMO)</v>
          </cell>
          <cell r="D447" t="str">
            <v xml:space="preserve">CONECTOR METALICO TIPO PARAFUSO FENDIDO (SPLIT BOLT), PARA CABOS ATE 95 MM2 </v>
          </cell>
          <cell r="E447" t="str">
            <v xml:space="preserve">UN </v>
          </cell>
          <cell r="F447">
            <v>12.31</v>
          </cell>
        </row>
        <row r="448">
          <cell r="B448">
            <v>1368</v>
          </cell>
          <cell r="C448" t="str">
            <v>SINAPI (INSUMO)</v>
          </cell>
          <cell r="D448" t="str">
            <v>CHUVEIRO COMUM EM PLASTICO BRANCO, COM CANO, 3 TEMPERATURAS, 5500 W (110/220V)</v>
          </cell>
          <cell r="E448" t="str">
            <v xml:space="preserve">UN </v>
          </cell>
          <cell r="F448">
            <v>46.9</v>
          </cell>
        </row>
        <row r="449">
          <cell r="B449">
            <v>13415</v>
          </cell>
          <cell r="C449" t="str">
            <v>SINAPI (INSUMO)</v>
          </cell>
          <cell r="D449" t="str">
            <v>TORNEIRA CROMADA DE MESA PARA LAVATORIO, PADRAO POPULAR, 1/2 " OU 3/4 " (REF1193)</v>
          </cell>
          <cell r="E449" t="str">
            <v xml:space="preserve">UN </v>
          </cell>
          <cell r="F449">
            <v>39.950000000000003</v>
          </cell>
        </row>
        <row r="450">
          <cell r="B450">
            <v>6005</v>
          </cell>
          <cell r="C450" t="str">
            <v>SINAPI (INSUMO)</v>
          </cell>
          <cell r="D450" t="str">
            <v>REGISTRO GAVETA COM ACABAMENTO E CANOPLA CROMADOS, SIMPLES, BITOLA 3/4 " (REF1509)</v>
          </cell>
          <cell r="E450" t="str">
            <v xml:space="preserve">UN </v>
          </cell>
          <cell r="F450">
            <v>49.2</v>
          </cell>
        </row>
        <row r="451">
          <cell r="B451">
            <v>6141</v>
          </cell>
          <cell r="C451" t="str">
            <v>SINAPI (INSUMO)</v>
          </cell>
          <cell r="D451" t="str">
            <v xml:space="preserve">ENGATE/RABICHO FLEXIVEL PLASTICO (PVC OU ABS) BRANCO 1/2 " X 30 CM </v>
          </cell>
          <cell r="E451" t="str">
            <v xml:space="preserve">UN </v>
          </cell>
          <cell r="F451">
            <v>2.88</v>
          </cell>
        </row>
        <row r="452">
          <cell r="B452">
            <v>65</v>
          </cell>
          <cell r="C452" t="str">
            <v>SINAPI (INSUMO)</v>
          </cell>
          <cell r="D452" t="str">
            <v xml:space="preserve">ADAPTADOR PVC SOLDAVEL CURTO COM BOLSA E ROSCA, 25 MM X 3/4", PARA AGUA FRIA </v>
          </cell>
          <cell r="E452" t="str">
            <v xml:space="preserve">UN </v>
          </cell>
          <cell r="F452">
            <v>0.69</v>
          </cell>
        </row>
        <row r="453">
          <cell r="B453">
            <v>1185</v>
          </cell>
          <cell r="C453" t="str">
            <v>SINAPI (INSUMO)</v>
          </cell>
          <cell r="D453" t="str">
            <v xml:space="preserve">CAP PVC, SOLDAVEL, 25 MM, PARA AGUA FRIA PREDIAL </v>
          </cell>
          <cell r="E453" t="str">
            <v xml:space="preserve">UN </v>
          </cell>
          <cell r="F453">
            <v>1.05</v>
          </cell>
        </row>
        <row r="454">
          <cell r="B454">
            <v>3529</v>
          </cell>
          <cell r="C454" t="str">
            <v>SINAPI (INSUMO)</v>
          </cell>
          <cell r="D454" t="str">
            <v xml:space="preserve">JOELHO PVC, SOLDAVEL, 90 GRAUS, 25 MM, PARA AGUA FRIA PREDIAL </v>
          </cell>
          <cell r="E454" t="str">
            <v xml:space="preserve">UN </v>
          </cell>
          <cell r="F454">
            <v>0.65</v>
          </cell>
        </row>
        <row r="455">
          <cell r="B455">
            <v>7139</v>
          </cell>
          <cell r="C455" t="str">
            <v>SINAPI (INSUMO)</v>
          </cell>
          <cell r="D455" t="str">
            <v xml:space="preserve">TE SOLDAVEL, PVC, 90 GRAUS, 25 MM, PARA AGUA FRIA PREDIAL (NBR 5648) </v>
          </cell>
          <cell r="E455" t="str">
            <v xml:space="preserve">UN </v>
          </cell>
          <cell r="F455">
            <v>1.1000000000000001</v>
          </cell>
        </row>
        <row r="456">
          <cell r="B456">
            <v>20147</v>
          </cell>
          <cell r="C456" t="str">
            <v>SINAPI (INSUMO)</v>
          </cell>
          <cell r="D456" t="str">
            <v>JOELHO PVC, SOLDAVEL, COM BUCHA DE LATAO, 90 GRAUS, 25 MM X 1/2", PARA AGUA FRIA PREDIAL</v>
          </cell>
          <cell r="E456" t="str">
            <v xml:space="preserve">UN </v>
          </cell>
          <cell r="F456">
            <v>5.04</v>
          </cell>
        </row>
        <row r="457">
          <cell r="B457">
            <v>9868</v>
          </cell>
          <cell r="C457" t="str">
            <v>SINAPI (INSUMO)</v>
          </cell>
          <cell r="D457" t="str">
            <v xml:space="preserve">TUBO PVC, SOLDAVEL, DN 25 MM, AGUA FRIA (NBR-5648) </v>
          </cell>
          <cell r="E457" t="str">
            <v>M</v>
          </cell>
          <cell r="F457">
            <v>2.71</v>
          </cell>
        </row>
        <row r="458">
          <cell r="B458">
            <v>9835</v>
          </cell>
          <cell r="C458" t="str">
            <v>SINAPI (INSUMO)</v>
          </cell>
          <cell r="D458" t="str">
            <v xml:space="preserve">TUBO PVC SERIE NORMAL, DN 40 MM, PARA ESGOTO PREDIAL (NBR 5688) </v>
          </cell>
          <cell r="E458" t="str">
            <v>M</v>
          </cell>
          <cell r="F458">
            <v>3.71</v>
          </cell>
        </row>
        <row r="459">
          <cell r="B459">
            <v>9838</v>
          </cell>
          <cell r="C459" t="str">
            <v>SINAPI (INSUMO)</v>
          </cell>
          <cell r="D459" t="str">
            <v xml:space="preserve">TUBO PVC SERIE NORMAL, DN 50 MM, PARA ESGOTO PREDIAL (NBR 5688) </v>
          </cell>
          <cell r="E459" t="str">
            <v>M</v>
          </cell>
          <cell r="F459">
            <v>6.38</v>
          </cell>
        </row>
        <row r="460">
          <cell r="B460">
            <v>9836</v>
          </cell>
          <cell r="C460" t="str">
            <v>SINAPI (INSUMO)</v>
          </cell>
          <cell r="D460" t="str">
            <v xml:space="preserve">TUBO PVC SERIE NORMAL, DN 100 MM, PARA ESGOTO PREDIAL (NBR 5688) </v>
          </cell>
          <cell r="E460" t="str">
            <v>M</v>
          </cell>
          <cell r="F460">
            <v>9.8000000000000007</v>
          </cell>
        </row>
        <row r="461">
          <cell r="B461">
            <v>5103</v>
          </cell>
          <cell r="C461" t="str">
            <v>SINAPI (INSUMO)</v>
          </cell>
          <cell r="D461" t="str">
            <v xml:space="preserve">CAIXA SIFONADA PVC, 100 X 100 X 50 MM, COM GRELHA REDONDA BRANCA </v>
          </cell>
          <cell r="E461" t="str">
            <v xml:space="preserve">UN </v>
          </cell>
          <cell r="F461">
            <v>10.84</v>
          </cell>
        </row>
        <row r="462">
          <cell r="B462">
            <v>20154</v>
          </cell>
          <cell r="C462" t="str">
            <v>SINAPI (INSUMO)</v>
          </cell>
          <cell r="D462" t="str">
            <v xml:space="preserve">JOELHO, PVC SERIE R, 90 GRAUS, DN 40 MM, PARA ESGOTO PREDIAL </v>
          </cell>
          <cell r="E462" t="str">
            <v xml:space="preserve">UN </v>
          </cell>
          <cell r="F462">
            <v>4.05</v>
          </cell>
        </row>
        <row r="463">
          <cell r="B463">
            <v>20157</v>
          </cell>
          <cell r="C463" t="str">
            <v>SINAPI (INSUMO)</v>
          </cell>
          <cell r="D463" t="str">
            <v xml:space="preserve">JOELHO, PVC SERIE R, 90 GRAUS, DN 100 MM, PARA ESGOTO PREDIAL </v>
          </cell>
          <cell r="E463" t="str">
            <v xml:space="preserve">UN </v>
          </cell>
          <cell r="F463">
            <v>24.88</v>
          </cell>
        </row>
        <row r="464">
          <cell r="B464">
            <v>20148</v>
          </cell>
          <cell r="C464" t="str">
            <v>SINAPI (INSUMO)</v>
          </cell>
          <cell r="D464" t="str">
            <v>JOELHO, PVC SERIE R, 45 GRAUS, DN 40 MM, PARA ESGOTO PREDIAL</v>
          </cell>
          <cell r="E464" t="str">
            <v xml:space="preserve">UN </v>
          </cell>
          <cell r="F464">
            <v>3.68</v>
          </cell>
        </row>
        <row r="465">
          <cell r="B465">
            <v>2637</v>
          </cell>
          <cell r="C465" t="str">
            <v>SINAPI (INSUMO)</v>
          </cell>
          <cell r="D465" t="str">
            <v xml:space="preserve">LUVA PARA ELETRODUTO, EM ACO GALVANIZADO ELETROLITICO, DIAMETRO DE 20 MM (3/4") </v>
          </cell>
          <cell r="E465" t="str">
            <v xml:space="preserve">UN </v>
          </cell>
          <cell r="F465">
            <v>0.94</v>
          </cell>
        </row>
        <row r="466">
          <cell r="B466">
            <v>2638</v>
          </cell>
          <cell r="C466" t="str">
            <v>SINAPI (INSUMO)</v>
          </cell>
          <cell r="D466" t="str">
            <v xml:space="preserve">LUVA PARA ELETRODUTO, EM ACO GALVANIZADO ELETROLITICO, DIAMETRO DE 25 MM (1") </v>
          </cell>
          <cell r="E466" t="str">
            <v xml:space="preserve">UN </v>
          </cell>
          <cell r="F466">
            <v>1.1000000000000001</v>
          </cell>
        </row>
        <row r="467">
          <cell r="B467">
            <v>2593</v>
          </cell>
          <cell r="C467" t="str">
            <v>SINAPI (INSUMO)</v>
          </cell>
          <cell r="D467" t="str">
            <v>CONDULETE DE ALUMINIO TIPO LR, PARA ELETRODUTO ROSCAVEL DE 3/4", COM TAMPA CEGA</v>
          </cell>
          <cell r="E467" t="str">
            <v xml:space="preserve">UN </v>
          </cell>
          <cell r="F467">
            <v>6.01</v>
          </cell>
        </row>
        <row r="468">
          <cell r="B468">
            <v>2570</v>
          </cell>
          <cell r="C468" t="str">
            <v>SINAPI (INSUMO)</v>
          </cell>
          <cell r="D468" t="str">
            <v xml:space="preserve">CONDULETE DE ALUMINIO TIPO LR, PARA ELETRODUTO ROSCAVEL DE 1", COM TAMPA CEGA </v>
          </cell>
          <cell r="E468" t="str">
            <v xml:space="preserve">UN </v>
          </cell>
          <cell r="F468">
            <v>9.4600000000000009</v>
          </cell>
        </row>
        <row r="469">
          <cell r="B469">
            <v>2510</v>
          </cell>
          <cell r="C469" t="str">
            <v>SINAPI (INSUMO)</v>
          </cell>
          <cell r="D469" t="str">
            <v xml:space="preserve">RELE FOTOELETRICO INTERNO E EXTERNO BIVOLT 1000 W, DE CONECTOR, SEM BASE </v>
          </cell>
          <cell r="E469" t="str">
            <v xml:space="preserve">UN </v>
          </cell>
          <cell r="F469">
            <v>14.86</v>
          </cell>
        </row>
        <row r="470">
          <cell r="B470">
            <v>7572</v>
          </cell>
          <cell r="C470" t="str">
            <v>SINAPI (INSUMO)</v>
          </cell>
          <cell r="D470" t="str">
            <v>SUPORTE ISOLADOR REFORCADO DIAMETRO NOMINAL 5/16", COM ROSCA SOBERBA E BUCHA</v>
          </cell>
          <cell r="E470" t="str">
            <v xml:space="preserve">UN </v>
          </cell>
          <cell r="F470">
            <v>5.37</v>
          </cell>
        </row>
        <row r="471">
          <cell r="B471">
            <v>3396</v>
          </cell>
          <cell r="C471" t="str">
            <v>SINAPI (INSUMO)</v>
          </cell>
          <cell r="D471" t="str">
            <v>SUPORTE ISOLADOR SIMPLES DIAMETRO NOMINAL 5/16", COM ROSCA SOBERBA E BUCHA</v>
          </cell>
          <cell r="E471" t="str">
            <v xml:space="preserve">UN </v>
          </cell>
          <cell r="F471">
            <v>3.8</v>
          </cell>
        </row>
        <row r="472">
          <cell r="B472">
            <v>11864</v>
          </cell>
          <cell r="C472" t="str">
            <v>SINAPI (INSUMO)</v>
          </cell>
          <cell r="D472" t="str">
            <v xml:space="preserve">CONECTOR METALICO TIPO PARAFUSO FENDIDO (SPLIT BOLT), PARA CABOS ATE 95 MM2 </v>
          </cell>
          <cell r="E472" t="str">
            <v xml:space="preserve">UN </v>
          </cell>
          <cell r="F472">
            <v>12.31</v>
          </cell>
        </row>
        <row r="473">
          <cell r="B473">
            <v>2631</v>
          </cell>
          <cell r="C473" t="str">
            <v>SINAPI (INSUMO)</v>
          </cell>
          <cell r="D473" t="str">
            <v>CURVA 90 GRAUS, PARA ELETRODUTO, EM ACO GALVANIZADO ELETROLITICO, DIAMETRO DE 50 MM (2")</v>
          </cell>
          <cell r="E473" t="str">
            <v xml:space="preserve">UN </v>
          </cell>
          <cell r="F473">
            <v>13.89</v>
          </cell>
        </row>
        <row r="474">
          <cell r="B474">
            <v>2637</v>
          </cell>
          <cell r="C474" t="str">
            <v>SINAPI (INSUMO)</v>
          </cell>
          <cell r="D474" t="str">
            <v xml:space="preserve">LUVA PARA ELETRODUTO, EM ACO GALVANIZADO ELETROLITICO, DIAMETRO DE 20 MM (3/4") </v>
          </cell>
          <cell r="E474" t="str">
            <v xml:space="preserve">UN </v>
          </cell>
          <cell r="F474">
            <v>0.94</v>
          </cell>
        </row>
        <row r="475">
          <cell r="B475">
            <v>2643</v>
          </cell>
          <cell r="C475" t="str">
            <v>SINAPI (INSUMO)</v>
          </cell>
          <cell r="D475" t="str">
            <v xml:space="preserve">LUVA PARA ELETRODUTO, EM ACO GALVANIZADO ELETROLITICO, DIAMETRO DE 50 MM (2") </v>
          </cell>
          <cell r="E475" t="str">
            <v xml:space="preserve">UN </v>
          </cell>
          <cell r="F475">
            <v>3.93</v>
          </cell>
        </row>
        <row r="476">
          <cell r="B476">
            <v>400</v>
          </cell>
          <cell r="C476" t="str">
            <v>SINAPI (INSUMO)</v>
          </cell>
          <cell r="D476" t="str">
            <v>ABRACADEIRA EM ACO PARA AMARRACAO DE ELETRODUTOS, TIPO D, COM 3/4" E PARAFUSO DE FIXACAO</v>
          </cell>
          <cell r="E476" t="str">
            <v xml:space="preserve">UN </v>
          </cell>
          <cell r="F476">
            <v>0.61</v>
          </cell>
        </row>
        <row r="477">
          <cell r="B477">
            <v>396</v>
          </cell>
          <cell r="C477" t="str">
            <v>SINAPI (INSUMO)</v>
          </cell>
          <cell r="D477" t="str">
            <v>ABRACADEIRA EM ACO PARA AMARRACAO DE ELETRODUTOS, TIPO D, COM 2" E PARAFUSO DE FIXACAO</v>
          </cell>
          <cell r="E477" t="str">
            <v xml:space="preserve">UN </v>
          </cell>
          <cell r="F477">
            <v>1.34</v>
          </cell>
        </row>
        <row r="478">
          <cell r="B478">
            <v>2593</v>
          </cell>
          <cell r="C478" t="str">
            <v>SINAPI (INSUMO)</v>
          </cell>
          <cell r="D478" t="str">
            <v>CONDULETE DE ALUMINIO TIPO LR, PARA ELETRODUTO ROSCAVEL DE 3/4", COM TAMPA CEGA</v>
          </cell>
          <cell r="E478" t="str">
            <v xml:space="preserve">UN </v>
          </cell>
          <cell r="F478">
            <v>6.01</v>
          </cell>
        </row>
        <row r="479">
          <cell r="B479">
            <v>7572</v>
          </cell>
          <cell r="C479" t="str">
            <v>SINAPI (INSUMO)</v>
          </cell>
          <cell r="D479" t="str">
            <v>SUPORTE ISOLADOR REFORCADO DIAMETRO NOMINAL 5/16", COM ROSCA SOBERBA E BUCHA</v>
          </cell>
          <cell r="E479" t="str">
            <v xml:space="preserve">UN </v>
          </cell>
          <cell r="F479">
            <v>5.37</v>
          </cell>
        </row>
        <row r="480">
          <cell r="B480">
            <v>3396</v>
          </cell>
          <cell r="C480" t="str">
            <v>SINAPI (INSUMO)</v>
          </cell>
          <cell r="D480" t="str">
            <v xml:space="preserve">SUPORTE ISOLADOR SIMPLES DIAMETRO NOMINAL 5/16", COM ROSCA SOBERBA E BUCHA </v>
          </cell>
          <cell r="E480" t="str">
            <v xml:space="preserve">UN </v>
          </cell>
          <cell r="F480">
            <v>3.8</v>
          </cell>
        </row>
        <row r="481">
          <cell r="B481">
            <v>11864</v>
          </cell>
          <cell r="C481" t="str">
            <v>SINAPI (INSUMO)</v>
          </cell>
          <cell r="D481" t="str">
            <v xml:space="preserve">CONECTOR METALICO TIPO PARAFUSO FENDIDO (SPLIT BOLT), PARA CABOS ATE 95 MM2 </v>
          </cell>
          <cell r="E481" t="str">
            <v xml:space="preserve">UN </v>
          </cell>
          <cell r="F481">
            <v>12.31</v>
          </cell>
        </row>
        <row r="482">
          <cell r="B482">
            <v>9841</v>
          </cell>
          <cell r="C482" t="str">
            <v>SINAPI (INSUMO)</v>
          </cell>
          <cell r="D482" t="str">
            <v>TUBO PVC, PBV, SERIE R, DN 100 MM, PARA ESGOTO OU AGUAS PLUVIAIS PREDIAL (NBR 5688)</v>
          </cell>
          <cell r="E482" t="str">
            <v>M</v>
          </cell>
          <cell r="F482">
            <v>18.809999999999999</v>
          </cell>
        </row>
        <row r="483">
          <cell r="B483">
            <v>9840</v>
          </cell>
          <cell r="C483" t="str">
            <v>SINAPI (INSUMO)</v>
          </cell>
          <cell r="D483" t="str">
            <v>TUBO PVC, PBV, SERIE R, DN 150 MM, PARA ESGOTO OU AGUAS PLUVIAIS PREDIAL (NBR 5688)</v>
          </cell>
          <cell r="E483" t="str">
            <v>M</v>
          </cell>
          <cell r="F483">
            <v>39.130000000000003</v>
          </cell>
        </row>
        <row r="484">
          <cell r="B484">
            <v>9870</v>
          </cell>
          <cell r="C484" t="str">
            <v>SINAPI (INSUMO)</v>
          </cell>
          <cell r="D484" t="str">
            <v xml:space="preserve">TUBO PVC, SOLDAVEL, DN 110 MM, AGUA FRIA (NBR-5648) </v>
          </cell>
          <cell r="E484" t="str">
            <v>M</v>
          </cell>
          <cell r="F484">
            <v>48.83</v>
          </cell>
        </row>
        <row r="485">
          <cell r="B485">
            <v>9873</v>
          </cell>
          <cell r="C485" t="str">
            <v>SINAPI (INSUMO)</v>
          </cell>
          <cell r="D485" t="str">
            <v xml:space="preserve">TUBO PVC, SOLDAVEL, DN 60 MM, AGUA FRIA (NBR-5648) </v>
          </cell>
          <cell r="E485" t="str">
            <v>M</v>
          </cell>
          <cell r="F485">
            <v>16.38</v>
          </cell>
        </row>
        <row r="486">
          <cell r="B486">
            <v>9874</v>
          </cell>
          <cell r="C486" t="str">
            <v>SINAPI (INSUMO)</v>
          </cell>
          <cell r="D486" t="str">
            <v xml:space="preserve">TUBO PVC, SOLDAVEL, DN 40 MM, AGUA FRIA (NBR-5648) </v>
          </cell>
          <cell r="E486" t="str">
            <v>M</v>
          </cell>
          <cell r="F486">
            <v>8.4700000000000006</v>
          </cell>
        </row>
        <row r="487">
          <cell r="B487">
            <v>9871</v>
          </cell>
          <cell r="C487" t="str">
            <v>SINAPI (INSUMO)</v>
          </cell>
          <cell r="D487" t="str">
            <v xml:space="preserve">TUBO PVC, SOLDAVEL, DN 75 MM, AGUA FRIA (NBR-5648) </v>
          </cell>
          <cell r="E487" t="str">
            <v>M</v>
          </cell>
          <cell r="F487">
            <v>22.98</v>
          </cell>
        </row>
        <row r="488">
          <cell r="B488">
            <v>1962</v>
          </cell>
          <cell r="C488" t="str">
            <v>SINAPI (INSUMO)</v>
          </cell>
          <cell r="D488" t="str">
            <v xml:space="preserve">CURVA DE PVC 90 GRAUS, SOLDAVEL, 110 MM, PARA AGUA FRIA PREDIAL (NBR 5648) </v>
          </cell>
          <cell r="E488" t="str">
            <v xml:space="preserve">UN </v>
          </cell>
          <cell r="F488">
            <v>83.65</v>
          </cell>
        </row>
        <row r="489">
          <cell r="B489">
            <v>7106</v>
          </cell>
          <cell r="C489" t="str">
            <v>SINAPI (INSUMO)</v>
          </cell>
          <cell r="D489" t="str">
            <v xml:space="preserve">TE DE REDUCAO, PVC, SOLDAVEL, 90 GRAUS, 110 MM X 60 MM, PARA AGUA FRIA PREDIAL </v>
          </cell>
          <cell r="E489" t="str">
            <v xml:space="preserve">UN </v>
          </cell>
          <cell r="F489">
            <v>95.24</v>
          </cell>
        </row>
        <row r="490">
          <cell r="B490">
            <v>815</v>
          </cell>
          <cell r="C490" t="str">
            <v>SINAPI (INSUMO)</v>
          </cell>
          <cell r="D490" t="str">
            <v>BUCHA DE REDUCAO DE PVC, SOLDAVEL, LONGA, COM 60 X 40 MM, PARA AGUA FRIA PREDIAL</v>
          </cell>
          <cell r="E490" t="str">
            <v xml:space="preserve">UN </v>
          </cell>
          <cell r="F490">
            <v>7.58</v>
          </cell>
        </row>
        <row r="491">
          <cell r="B491">
            <v>827</v>
          </cell>
          <cell r="C491" t="str">
            <v>SINAPI (INSUMO)</v>
          </cell>
          <cell r="D491" t="str">
            <v>BUCHA DE REDUCAO DE PVC, SOLDAVEL, LONGA, COM 110 X 75 MM, PARA AGUA FRIA PREDIAL</v>
          </cell>
          <cell r="E491" t="str">
            <v xml:space="preserve">UN </v>
          </cell>
          <cell r="F491">
            <v>23.41</v>
          </cell>
        </row>
        <row r="492">
          <cell r="B492">
            <v>50</v>
          </cell>
          <cell r="C492" t="str">
            <v>SINAPI (INSUMO)</v>
          </cell>
          <cell r="D492" t="str">
            <v xml:space="preserve">ADAPTADOR, PVC PBA, A BOLSA DEFOFO, JE, DN 75 / DE 85 MM </v>
          </cell>
          <cell r="E492" t="str">
            <v xml:space="preserve">UN </v>
          </cell>
          <cell r="F492">
            <v>39.090000000000003</v>
          </cell>
        </row>
        <row r="493">
          <cell r="B493">
            <v>9868</v>
          </cell>
          <cell r="C493" t="str">
            <v>SINAPI (INSUMO)</v>
          </cell>
          <cell r="D493" t="str">
            <v xml:space="preserve">TUBO PVC, SOLDAVEL, DN 25 MM, AGUA FRIA (NBR-5648)  </v>
          </cell>
          <cell r="E493" t="str">
            <v>M</v>
          </cell>
          <cell r="F493">
            <v>2.71</v>
          </cell>
        </row>
        <row r="494">
          <cell r="B494">
            <v>9841</v>
          </cell>
          <cell r="C494" t="str">
            <v>SINAPI (INSUMO)</v>
          </cell>
          <cell r="D494" t="str">
            <v>TUBO PVC, PBV, SERIE R, DN 100 MM, PARA ESGOTO OU AGUAS PLUVIAIS PREDIAL (NBR 5688)</v>
          </cell>
          <cell r="E494" t="str">
            <v>M</v>
          </cell>
          <cell r="F494">
            <v>18.809999999999999</v>
          </cell>
        </row>
        <row r="495">
          <cell r="B495">
            <v>21013</v>
          </cell>
          <cell r="C495" t="str">
            <v>SINAPI (INSUMO)</v>
          </cell>
          <cell r="D495" t="str">
            <v>TUBO ACO GALVANIZADO COM COSTURA, CLASSE LEVE, DN 50 MM ( 2"), E = 3,00 MM, *4,40* KG/M (NBR 5580)</v>
          </cell>
          <cell r="E495" t="str">
            <v>M</v>
          </cell>
          <cell r="F495">
            <v>33.71</v>
          </cell>
        </row>
        <row r="496">
          <cell r="B496">
            <v>113</v>
          </cell>
          <cell r="C496" t="str">
            <v>SINAPI (INSUMO)</v>
          </cell>
          <cell r="D496" t="str">
            <v xml:space="preserve">ADAPTADOR PVC SOLDAVEL CURTO COM BOLSA E ROSCA, 60 MM X 2", PARA AGUA FRIA </v>
          </cell>
          <cell r="E496" t="str">
            <v xml:space="preserve">UN </v>
          </cell>
          <cell r="F496">
            <v>7.71</v>
          </cell>
        </row>
        <row r="497">
          <cell r="B497">
            <v>65</v>
          </cell>
          <cell r="C497" t="str">
            <v>SINAPI (INSUMO)</v>
          </cell>
          <cell r="D497" t="str">
            <v xml:space="preserve">ADAPTADOR PVC SOLDAVEL CURTO COM BOLSA E ROSCA, 25 MM X 3/4", PARA AGUA FRIA </v>
          </cell>
          <cell r="E497" t="str">
            <v xml:space="preserve">UN </v>
          </cell>
          <cell r="F497">
            <v>0.69</v>
          </cell>
        </row>
        <row r="498">
          <cell r="B498">
            <v>3529</v>
          </cell>
          <cell r="C498" t="str">
            <v>SINAPI (INSUMO)</v>
          </cell>
          <cell r="D498" t="str">
            <v xml:space="preserve">JOELHO PVC, SOLDAVEL, 90 GRAUS, 25 MM, PARA AGUA FRIA PREDIAL </v>
          </cell>
          <cell r="E498" t="str">
            <v xml:space="preserve">UN </v>
          </cell>
          <cell r="F498">
            <v>0.65</v>
          </cell>
        </row>
        <row r="499">
          <cell r="B499">
            <v>3522</v>
          </cell>
          <cell r="C499" t="str">
            <v>SINAPI (INSUMO)</v>
          </cell>
          <cell r="D499" t="str">
            <v xml:space="preserve">JOELHO PVC, SOLDAVEL COM ROSCA, 90 GRAUS, 25 MM X 3/4", PARA AGUA FRIA PREDIAL  </v>
          </cell>
          <cell r="E499" t="str">
            <v xml:space="preserve">UN </v>
          </cell>
          <cell r="F499">
            <v>2.54</v>
          </cell>
        </row>
        <row r="500">
          <cell r="B500">
            <v>3471</v>
          </cell>
          <cell r="C500" t="str">
            <v>SINAPI (INSUMO)</v>
          </cell>
          <cell r="D500" t="str">
            <v xml:space="preserve">COTOVELO 90 GRAUS DE FERRO GALVANIZADO, COM ROSCA BSP, DE 2" </v>
          </cell>
          <cell r="E500" t="str">
            <v xml:space="preserve">UN </v>
          </cell>
          <cell r="F500">
            <v>27.67</v>
          </cell>
        </row>
        <row r="501">
          <cell r="B501">
            <v>6298</v>
          </cell>
          <cell r="C501" t="str">
            <v>SINAPI (INSUMO)</v>
          </cell>
          <cell r="D501" t="str">
            <v xml:space="preserve"> TE DE FERRO GALVANIZADO, DE 2" </v>
          </cell>
          <cell r="E501" t="str">
            <v xml:space="preserve">UN </v>
          </cell>
          <cell r="F501">
            <v>36.79</v>
          </cell>
        </row>
        <row r="502">
          <cell r="B502">
            <v>771</v>
          </cell>
          <cell r="C502" t="str">
            <v>SINAPI (INSUMO)</v>
          </cell>
          <cell r="D502" t="str">
            <v xml:space="preserve">BUCHA DE REDUCAO DE FERRO GALVANIZADO, COM ROSCA BSP, DE 2" X 1" </v>
          </cell>
          <cell r="E502" t="str">
            <v xml:space="preserve">UN </v>
          </cell>
          <cell r="F502">
            <v>15.41</v>
          </cell>
        </row>
        <row r="503">
          <cell r="B503">
            <v>765</v>
          </cell>
          <cell r="C503" t="str">
            <v>SINAPI (INSUMO)</v>
          </cell>
          <cell r="D503" t="str">
            <v xml:space="preserve">BUCHA DE REDUCAO DE FERRO GALVANIZADO, COM ROSCA BSP, DE 1" X 3/4" </v>
          </cell>
          <cell r="E503" t="str">
            <v xml:space="preserve">UN </v>
          </cell>
          <cell r="F503">
            <v>5.55</v>
          </cell>
        </row>
        <row r="504">
          <cell r="B504">
            <v>3912</v>
          </cell>
          <cell r="C504" t="str">
            <v>SINAPI (INSUMO)</v>
          </cell>
          <cell r="D504" t="str">
            <v xml:space="preserve">LUVA DE FERRO GALVANIZADO, COM ROSCA BSP, DE 2" </v>
          </cell>
          <cell r="E504" t="str">
            <v xml:space="preserve">UN </v>
          </cell>
          <cell r="F504">
            <v>19.48</v>
          </cell>
        </row>
        <row r="505">
          <cell r="B505">
            <v>1790</v>
          </cell>
          <cell r="C505" t="str">
            <v>SINAPI (INSUMO)</v>
          </cell>
          <cell r="D505" t="str">
            <v xml:space="preserve">CURVA 90 GRAUS DE FERRO GALVANIZADO, COM ROSCA BSP FEMEA, DE 2" </v>
          </cell>
          <cell r="E505" t="str">
            <v xml:space="preserve">UN </v>
          </cell>
          <cell r="F505">
            <v>73.31</v>
          </cell>
        </row>
        <row r="506">
          <cell r="B506">
            <v>4181</v>
          </cell>
          <cell r="C506" t="str">
            <v>SINAPI (INSUMO)</v>
          </cell>
          <cell r="D506" t="str">
            <v>NIPLE DE FERRO GALVANIZADO, COM ROSCA BSP, DE 2"</v>
          </cell>
          <cell r="E506" t="str">
            <v xml:space="preserve">UN </v>
          </cell>
          <cell r="F506">
            <v>19.489999999999998</v>
          </cell>
        </row>
        <row r="507">
          <cell r="B507">
            <v>11762</v>
          </cell>
          <cell r="C507" t="str">
            <v>SINAPI (INSUMO)</v>
          </cell>
          <cell r="D507" t="str">
            <v xml:space="preserve">TORNEIRA CROMADA COM BICO PARA JARDIM/TANQUE 1/2 " OU 3/4 " (REF 1153) </v>
          </cell>
          <cell r="E507" t="str">
            <v xml:space="preserve">UN </v>
          </cell>
          <cell r="F507">
            <v>47.46</v>
          </cell>
        </row>
      </sheetData>
      <sheetData sheetId="3">
        <row r="13">
          <cell r="F13">
            <v>1.1553</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RAS E SERVIÇOS"/>
      <sheetName val="MAQUINARIOS E EQUIPAMENTOS"/>
      <sheetName val="Cronograma e resumo GERAL"/>
    </sheetNames>
    <sheetDataSet>
      <sheetData sheetId="0">
        <row r="3">
          <cell r="A3" t="str">
            <v>Proprietário: PREFEITURA MUNICIPAL DE CORDEIRÓPOLIS</v>
          </cell>
        </row>
        <row r="4">
          <cell r="A4" t="str">
            <v>Obra : IMPLANTAÇÃO DA ESTAÇÃO DE TRATAMENTO DE ÁGUA - ETA</v>
          </cell>
        </row>
        <row r="5">
          <cell r="A5" t="str">
            <v>Local : MUNICÍPIO DE CORDEIRÓPOLIS</v>
          </cell>
        </row>
      </sheetData>
      <sheetData sheetId="1"/>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2" tint="-0.249977111117893"/>
  </sheetPr>
  <dimension ref="A1:AK2215"/>
  <sheetViews>
    <sheetView tabSelected="1" view="pageBreakPreview" zoomScale="80" zoomScaleSheetLayoutView="80" workbookViewId="0">
      <pane xSplit="13" ySplit="8" topLeftCell="N1080" activePane="bottomRight" state="frozen"/>
      <selection pane="topRight" activeCell="M1" sqref="M1"/>
      <selection pane="bottomLeft" activeCell="A12" sqref="A12"/>
      <selection pane="bottomRight" activeCell="L1106" sqref="L1106"/>
    </sheetView>
  </sheetViews>
  <sheetFormatPr defaultColWidth="9.140625" defaultRowHeight="12.75"/>
  <cols>
    <col min="1" max="1" width="7.140625" style="521" customWidth="1"/>
    <col min="2" max="2" width="10" style="89" customWidth="1"/>
    <col min="3" max="3" width="9.85546875" style="89" customWidth="1"/>
    <col min="4" max="4" width="91.140625" style="444" customWidth="1"/>
    <col min="5" max="5" width="9.140625" style="89"/>
    <col min="6" max="6" width="9.5703125" style="89" hidden="1" customWidth="1"/>
    <col min="7" max="7" width="10.5703125" style="311" hidden="1" customWidth="1"/>
    <col min="8" max="8" width="12.85546875" style="602" customWidth="1"/>
    <col min="9" max="9" width="9.42578125" style="89" customWidth="1"/>
    <col min="10" max="10" width="11" style="89" customWidth="1"/>
    <col min="11" max="11" width="5.28515625" style="371" hidden="1" customWidth="1"/>
    <col min="12" max="12" width="11.42578125" style="371" customWidth="1"/>
    <col min="13" max="13" width="15.28515625" style="371" customWidth="1"/>
    <col min="14" max="14" width="8" style="89" customWidth="1"/>
    <col min="15" max="15" width="9.140625" style="522" customWidth="1"/>
    <col min="16" max="17" width="15.28515625" style="89" customWidth="1"/>
    <col min="18" max="18" width="9.140625" style="344"/>
    <col min="19" max="19" width="98.42578125" style="344" customWidth="1"/>
    <col min="20" max="37" width="9.140625" style="344"/>
    <col min="38" max="16384" width="9.140625" style="89"/>
  </cols>
  <sheetData>
    <row r="1" spans="1:37" s="90" customFormat="1" ht="15.75">
      <c r="A1" s="469" t="s">
        <v>2410</v>
      </c>
      <c r="B1" s="99"/>
      <c r="C1" s="100"/>
      <c r="D1" s="394"/>
      <c r="E1" s="92"/>
      <c r="F1" s="92"/>
      <c r="G1" s="393"/>
      <c r="H1" s="393"/>
      <c r="I1" s="93"/>
      <c r="K1" s="307"/>
      <c r="L1" s="307"/>
      <c r="M1" s="470"/>
      <c r="O1" s="538"/>
      <c r="R1" s="2"/>
      <c r="S1" s="2"/>
      <c r="T1" s="2"/>
      <c r="U1" s="2"/>
      <c r="V1" s="2"/>
      <c r="W1" s="2"/>
      <c r="X1" s="2"/>
      <c r="Y1" s="2"/>
      <c r="Z1" s="2"/>
      <c r="AA1" s="2"/>
      <c r="AB1" s="2"/>
      <c r="AC1" s="2"/>
      <c r="AD1" s="2"/>
      <c r="AE1" s="2"/>
      <c r="AF1" s="2"/>
      <c r="AG1" s="2"/>
      <c r="AH1" s="2"/>
      <c r="AI1" s="2"/>
      <c r="AJ1" s="2"/>
      <c r="AK1" s="2"/>
    </row>
    <row r="2" spans="1:37" s="90" customFormat="1" ht="15.75">
      <c r="A2" s="469" t="s">
        <v>2409</v>
      </c>
      <c r="B2" s="99"/>
      <c r="C2" s="100"/>
      <c r="D2" s="395"/>
      <c r="E2" s="92"/>
      <c r="F2" s="94"/>
      <c r="G2" s="393"/>
      <c r="H2" s="393"/>
      <c r="I2" s="93"/>
      <c r="K2" s="307"/>
      <c r="L2" s="307"/>
      <c r="M2" s="470"/>
      <c r="O2" s="538"/>
      <c r="R2" s="2"/>
      <c r="S2" s="2"/>
      <c r="T2" s="2"/>
      <c r="U2" s="2"/>
      <c r="V2" s="2"/>
      <c r="W2" s="2"/>
      <c r="X2" s="2"/>
      <c r="Y2" s="2"/>
      <c r="Z2" s="2"/>
      <c r="AA2" s="2"/>
      <c r="AB2" s="2"/>
      <c r="AC2" s="2"/>
      <c r="AD2" s="2"/>
      <c r="AE2" s="2"/>
      <c r="AF2" s="2"/>
      <c r="AG2" s="2"/>
      <c r="AH2" s="2"/>
      <c r="AI2" s="2"/>
      <c r="AJ2" s="2"/>
      <c r="AK2" s="2"/>
    </row>
    <row r="3" spans="1:37" s="90" customFormat="1" ht="15.75">
      <c r="A3" s="469" t="s">
        <v>2408</v>
      </c>
      <c r="B3" s="99"/>
      <c r="C3" s="100"/>
      <c r="D3" s="395"/>
      <c r="E3" s="91"/>
      <c r="F3" s="95"/>
      <c r="G3" s="96"/>
      <c r="H3" s="96"/>
      <c r="I3" s="93"/>
      <c r="K3" s="307"/>
      <c r="L3" s="307"/>
      <c r="M3" s="470"/>
      <c r="O3" s="538"/>
      <c r="R3" s="2"/>
      <c r="S3" s="2"/>
      <c r="T3" s="2"/>
      <c r="U3" s="2"/>
      <c r="V3" s="2"/>
      <c r="W3" s="2"/>
      <c r="X3" s="2"/>
      <c r="Y3" s="2"/>
      <c r="Z3" s="2"/>
      <c r="AA3" s="2"/>
      <c r="AB3" s="2"/>
      <c r="AC3" s="2"/>
      <c r="AD3" s="2"/>
      <c r="AE3" s="2"/>
      <c r="AF3" s="2"/>
      <c r="AG3" s="2"/>
      <c r="AH3" s="2"/>
      <c r="AI3" s="2"/>
      <c r="AJ3" s="2"/>
      <c r="AK3" s="2"/>
    </row>
    <row r="4" spans="1:37" s="796" customFormat="1">
      <c r="A4" s="98" t="s">
        <v>2411</v>
      </c>
      <c r="B4" s="793"/>
      <c r="C4" s="100"/>
      <c r="D4" s="395"/>
      <c r="E4" s="100"/>
      <c r="F4" s="95"/>
      <c r="G4" s="794"/>
      <c r="H4" s="794"/>
      <c r="I4" s="795"/>
      <c r="K4" s="797"/>
      <c r="L4" s="797"/>
      <c r="M4" s="797"/>
      <c r="O4" s="798"/>
      <c r="R4" s="799"/>
      <c r="S4" s="799"/>
      <c r="T4" s="799"/>
      <c r="U4" s="799"/>
      <c r="V4" s="799"/>
      <c r="W4" s="799"/>
      <c r="X4" s="799"/>
      <c r="Y4" s="799"/>
      <c r="Z4" s="799"/>
      <c r="AA4" s="799"/>
      <c r="AB4" s="799"/>
      <c r="AC4" s="799"/>
      <c r="AD4" s="799"/>
      <c r="AE4" s="799"/>
      <c r="AF4" s="799"/>
      <c r="AG4" s="799"/>
      <c r="AH4" s="799"/>
      <c r="AI4" s="799"/>
      <c r="AJ4" s="799"/>
      <c r="AK4" s="799"/>
    </row>
    <row r="5" spans="1:37" s="796" customFormat="1">
      <c r="A5" s="98" t="s">
        <v>2412</v>
      </c>
      <c r="B5" s="793"/>
      <c r="C5" s="100"/>
      <c r="D5" s="395"/>
      <c r="E5" s="100"/>
      <c r="F5" s="95"/>
      <c r="G5" s="794"/>
      <c r="H5" s="794"/>
      <c r="I5" s="795"/>
      <c r="K5" s="797"/>
      <c r="L5" s="797"/>
      <c r="M5" s="797"/>
      <c r="O5" s="798"/>
      <c r="R5" s="799"/>
      <c r="S5" s="799"/>
      <c r="T5" s="799"/>
      <c r="U5" s="799"/>
      <c r="V5" s="799"/>
      <c r="W5" s="799"/>
      <c r="X5" s="799"/>
      <c r="Y5" s="799"/>
      <c r="Z5" s="799"/>
      <c r="AA5" s="799"/>
      <c r="AB5" s="799"/>
      <c r="AC5" s="799"/>
      <c r="AD5" s="799"/>
      <c r="AE5" s="799"/>
      <c r="AF5" s="799"/>
      <c r="AG5" s="799"/>
      <c r="AH5" s="799"/>
      <c r="AI5" s="799"/>
      <c r="AJ5" s="799"/>
      <c r="AK5" s="799"/>
    </row>
    <row r="6" spans="1:37" s="90" customFormat="1">
      <c r="A6" s="97"/>
      <c r="B6" s="103"/>
      <c r="C6" s="97"/>
      <c r="D6" s="395"/>
      <c r="E6" s="97"/>
      <c r="F6" s="95"/>
      <c r="G6" s="96"/>
      <c r="H6" s="96"/>
      <c r="I6" s="93"/>
      <c r="K6" s="470"/>
      <c r="L6" s="470"/>
      <c r="M6" s="470"/>
      <c r="O6" s="538"/>
      <c r="P6" s="90" t="s">
        <v>2407</v>
      </c>
      <c r="R6" s="2"/>
      <c r="S6" s="2"/>
      <c r="T6" s="2"/>
      <c r="U6" s="2"/>
      <c r="V6" s="2"/>
      <c r="W6" s="2"/>
      <c r="X6" s="2"/>
      <c r="Y6" s="2"/>
      <c r="Z6" s="2"/>
      <c r="AA6" s="2"/>
      <c r="AB6" s="2"/>
      <c r="AC6" s="2"/>
      <c r="AD6" s="2"/>
      <c r="AE6" s="2"/>
      <c r="AF6" s="2"/>
      <c r="AG6" s="2"/>
      <c r="AH6" s="2"/>
      <c r="AI6" s="2"/>
      <c r="AJ6" s="2"/>
      <c r="AK6" s="2"/>
    </row>
    <row r="7" spans="1:37" s="90" customFormat="1" ht="16.5" thickBot="1">
      <c r="A7" s="1049"/>
      <c r="B7" s="1049"/>
      <c r="C7" s="1049"/>
      <c r="D7" s="1049"/>
      <c r="E7" s="1049"/>
      <c r="F7" s="1049"/>
      <c r="G7" s="1049"/>
      <c r="H7" s="1049"/>
      <c r="I7" s="1049"/>
      <c r="J7" s="1049"/>
      <c r="K7" s="1049"/>
      <c r="L7" s="1049"/>
      <c r="M7" s="1049"/>
      <c r="O7" s="538"/>
      <c r="P7" s="90">
        <f>'[3]correçao monetaria obra'!F13</f>
        <v>1.1553</v>
      </c>
      <c r="R7" s="2"/>
      <c r="S7" s="2"/>
      <c r="T7" s="2"/>
      <c r="U7" s="2"/>
      <c r="V7" s="2"/>
      <c r="W7" s="2"/>
      <c r="X7" s="2"/>
      <c r="Y7" s="2"/>
      <c r="Z7" s="2"/>
      <c r="AA7" s="2"/>
      <c r="AB7" s="2"/>
      <c r="AC7" s="2"/>
      <c r="AD7" s="2"/>
      <c r="AE7" s="2"/>
      <c r="AF7" s="2"/>
      <c r="AG7" s="2"/>
      <c r="AH7" s="2"/>
      <c r="AI7" s="2"/>
      <c r="AJ7" s="2"/>
      <c r="AK7" s="2"/>
    </row>
    <row r="8" spans="1:37" ht="39" customHeight="1" thickBot="1">
      <c r="A8" s="490" t="s">
        <v>69</v>
      </c>
      <c r="B8" s="491" t="s">
        <v>1991</v>
      </c>
      <c r="C8" s="492" t="s">
        <v>1951</v>
      </c>
      <c r="D8" s="493" t="s">
        <v>1950</v>
      </c>
      <c r="E8" s="494" t="s">
        <v>157</v>
      </c>
      <c r="F8" s="495" t="s">
        <v>2345</v>
      </c>
      <c r="G8" s="494" t="s">
        <v>156</v>
      </c>
      <c r="H8" s="494" t="s">
        <v>2462</v>
      </c>
      <c r="I8" s="494" t="s">
        <v>155</v>
      </c>
      <c r="J8" s="496" t="s">
        <v>154</v>
      </c>
      <c r="K8" s="495" t="s">
        <v>2346</v>
      </c>
      <c r="L8" s="495" t="s">
        <v>2347</v>
      </c>
      <c r="M8" s="497" t="s">
        <v>2021</v>
      </c>
      <c r="N8" s="404"/>
      <c r="O8" s="539"/>
      <c r="P8" s="404"/>
      <c r="Q8" s="404"/>
    </row>
    <row r="9" spans="1:37" s="450" customFormat="1">
      <c r="A9" s="484">
        <v>1</v>
      </c>
      <c r="B9" s="485"/>
      <c r="C9" s="486"/>
      <c r="D9" s="487" t="s">
        <v>1952</v>
      </c>
      <c r="E9" s="485"/>
      <c r="F9" s="485"/>
      <c r="G9" s="485"/>
      <c r="H9" s="485"/>
      <c r="I9" s="485"/>
      <c r="J9" s="485"/>
      <c r="K9" s="488"/>
      <c r="L9" s="488"/>
      <c r="M9" s="489"/>
      <c r="N9" s="449"/>
      <c r="O9" s="540"/>
      <c r="P9" s="449"/>
      <c r="Q9" s="449"/>
      <c r="S9" s="414" t="str">
        <f t="shared" ref="S9:S40" si="0">UPPER(D9)</f>
        <v>OBRAS GERAIS</v>
      </c>
    </row>
    <row r="10" spans="1:37" s="344" customFormat="1">
      <c r="A10" s="45">
        <v>1</v>
      </c>
      <c r="B10" s="6"/>
      <c r="C10" s="45"/>
      <c r="D10" s="396" t="s">
        <v>2348</v>
      </c>
      <c r="E10" s="3"/>
      <c r="F10" s="4"/>
      <c r="G10" s="5"/>
      <c r="H10" s="5"/>
      <c r="I10" s="5"/>
      <c r="J10" s="5"/>
      <c r="K10" s="772"/>
      <c r="L10" s="5"/>
      <c r="M10" s="773"/>
      <c r="N10" s="774"/>
      <c r="O10" s="775"/>
      <c r="P10" s="774"/>
      <c r="Q10" s="774"/>
      <c r="S10" s="414" t="str">
        <f t="shared" si="0"/>
        <v>CANTEIRO DE OBRAS</v>
      </c>
    </row>
    <row r="11" spans="1:37" s="414" customFormat="1">
      <c r="A11" s="410" t="s">
        <v>20</v>
      </c>
      <c r="B11" s="411"/>
      <c r="C11" s="410"/>
      <c r="D11" s="690" t="s">
        <v>2023</v>
      </c>
      <c r="E11" s="617"/>
      <c r="F11" s="618"/>
      <c r="G11" s="412"/>
      <c r="H11" s="412"/>
      <c r="I11" s="412"/>
      <c r="J11" s="412"/>
      <c r="K11" s="776"/>
      <c r="L11" s="412"/>
      <c r="M11" s="777"/>
      <c r="N11" s="778"/>
      <c r="O11" s="779"/>
      <c r="P11" s="778"/>
      <c r="Q11" s="778"/>
      <c r="S11" s="414" t="str">
        <f t="shared" si="0"/>
        <v>CONSTRUÇÃO DO CANTEIRO</v>
      </c>
    </row>
    <row r="12" spans="1:37" s="414" customFormat="1">
      <c r="A12" s="410" t="s">
        <v>153</v>
      </c>
      <c r="B12" s="411"/>
      <c r="C12" s="410"/>
      <c r="D12" s="613" t="s">
        <v>2024</v>
      </c>
      <c r="E12" s="617" t="s">
        <v>76</v>
      </c>
      <c r="F12" s="618"/>
      <c r="G12" s="412" t="s">
        <v>76</v>
      </c>
      <c r="H12" s="412"/>
      <c r="I12" s="412"/>
      <c r="J12" s="412"/>
      <c r="K12" s="776" t="s">
        <v>76</v>
      </c>
      <c r="L12" s="412"/>
      <c r="M12" s="777"/>
      <c r="N12" s="778"/>
      <c r="O12" s="779"/>
      <c r="P12" s="778"/>
      <c r="Q12" s="778"/>
      <c r="S12" s="414" t="str">
        <f t="shared" si="0"/>
        <v>SANITÁRIO C/ VASO / CHUVEIRO PARA PESSOAL DE OBRA.</v>
      </c>
    </row>
    <row r="13" spans="1:37" s="344" customFormat="1">
      <c r="A13" s="49" t="s">
        <v>152</v>
      </c>
      <c r="B13" s="49">
        <f>'[3]Plan Tron'!B183</f>
        <v>20204</v>
      </c>
      <c r="C13" s="49" t="str">
        <f>'[3]Plan Tron'!C183</f>
        <v>CPOS</v>
      </c>
      <c r="D13" s="691" t="str">
        <f>UPPER('[3]Plan Tron'!D183)</f>
        <v xml:space="preserve">CONTAINER SANITÁRIO - MÍNIMO 2 DUCHAS, 2 BACIAS, 1 LAVATÓRIO E 1 MICTÓRIO </v>
      </c>
      <c r="E13" s="77" t="str">
        <f>'[3]Plan Tron'!E183</f>
        <v>UN.XMÊS</v>
      </c>
      <c r="F13" s="8">
        <f>6*10</f>
        <v>60</v>
      </c>
      <c r="G13" s="9">
        <f>ROUND(2553.01,2)</f>
        <v>2553.0100000000002</v>
      </c>
      <c r="H13" s="9">
        <f>'[3]Plan Tron'!F183</f>
        <v>390.6</v>
      </c>
      <c r="I13" s="9">
        <v>26.44</v>
      </c>
      <c r="J13" s="9">
        <f>ROUND(H13*(I13/100+1),2)</f>
        <v>493.87</v>
      </c>
      <c r="K13" s="474">
        <v>0</v>
      </c>
      <c r="L13" s="474">
        <f>F13-K13</f>
        <v>60</v>
      </c>
      <c r="M13" s="471">
        <f>ROUND(L13*J13,2)</f>
        <v>29632.2</v>
      </c>
      <c r="N13" s="405"/>
      <c r="O13" s="541"/>
      <c r="P13" s="405"/>
      <c r="Q13" s="405"/>
      <c r="S13" s="344" t="str">
        <f t="shared" si="0"/>
        <v xml:space="preserve">CONTAINER SANITÁRIO - MÍNIMO 2 DUCHAS, 2 BACIAS, 1 LAVATÓRIO E 1 MICTÓRIO </v>
      </c>
    </row>
    <row r="14" spans="1:37" s="723" customFormat="1" hidden="1">
      <c r="A14" s="749" t="s">
        <v>151</v>
      </c>
      <c r="B14" s="716"/>
      <c r="C14" s="749"/>
      <c r="D14" s="769" t="s">
        <v>2025</v>
      </c>
      <c r="E14" s="768"/>
      <c r="F14" s="770"/>
      <c r="G14" s="766"/>
      <c r="H14" s="766"/>
      <c r="I14" s="766"/>
      <c r="J14" s="766"/>
      <c r="K14" s="720"/>
      <c r="L14" s="668"/>
      <c r="M14" s="471"/>
      <c r="N14" s="405"/>
      <c r="O14" s="541"/>
      <c r="P14" s="405"/>
      <c r="Q14" s="405"/>
      <c r="S14" s="723" t="str">
        <f t="shared" si="0"/>
        <v>GALPÃO P/ OFICINA / DEPÓSITO CANTEIRO DE OBRA</v>
      </c>
    </row>
    <row r="15" spans="1:37" s="344" customFormat="1" ht="25.5" hidden="1">
      <c r="A15" s="49" t="s">
        <v>150</v>
      </c>
      <c r="B15" s="49">
        <f>'[3]Plan Tron'!B184</f>
        <v>93584</v>
      </c>
      <c r="C15" s="49" t="str">
        <f>'[3]Plan Tron'!C184</f>
        <v>SINAPI</v>
      </c>
      <c r="D15" s="614" t="str">
        <f>'[3]Plan Tron'!D184</f>
        <v>EXECUÇÃO DE DEPÓSITO EM CANTEIRO DE OBRA EM CHAPA DE MADEIRA COMPENSADA, NÃO INCLUSO MOBILIÁRIO. AF_04/2016</v>
      </c>
      <c r="E15" s="49" t="str">
        <f>'[3]Plan Tron'!E184</f>
        <v>M²</v>
      </c>
      <c r="F15" s="8">
        <v>200</v>
      </c>
      <c r="G15" s="9">
        <f>ROUND(176.4,2)</f>
        <v>176.4</v>
      </c>
      <c r="H15" s="9">
        <f>'[3]Plan Tron'!F184</f>
        <v>475.27</v>
      </c>
      <c r="I15" s="9">
        <v>26.44</v>
      </c>
      <c r="J15" s="9">
        <f>ROUND(H15*(I15/100+1),2)</f>
        <v>600.92999999999995</v>
      </c>
      <c r="K15" s="771">
        <v>200</v>
      </c>
      <c r="L15" s="474">
        <f>F15-K15</f>
        <v>0</v>
      </c>
      <c r="M15" s="471">
        <f t="shared" ref="M15:M72" si="1">ROUND(L15*J15,2)</f>
        <v>0</v>
      </c>
      <c r="N15" s="405"/>
      <c r="O15" s="541"/>
      <c r="P15" s="405"/>
      <c r="Q15" s="405"/>
      <c r="S15" s="344" t="str">
        <f t="shared" si="0"/>
        <v>EXECUÇÃO DE DEPÓSITO EM CANTEIRO DE OBRA EM CHAPA DE MADEIRA COMPENSADA, NÃO INCLUSO MOBILIÁRIO. AF_04/2016</v>
      </c>
    </row>
    <row r="16" spans="1:37" s="414" customFormat="1" hidden="1">
      <c r="A16" s="410" t="s">
        <v>149</v>
      </c>
      <c r="B16" s="411"/>
      <c r="C16" s="410"/>
      <c r="D16" s="613" t="s">
        <v>2026</v>
      </c>
      <c r="E16" s="617"/>
      <c r="F16" s="618"/>
      <c r="G16" s="412"/>
      <c r="H16" s="412"/>
      <c r="I16" s="412"/>
      <c r="J16" s="412"/>
      <c r="K16" s="498"/>
      <c r="L16" s="476"/>
      <c r="M16" s="471"/>
      <c r="N16" s="405"/>
      <c r="O16" s="541"/>
      <c r="P16" s="405"/>
      <c r="Q16" s="405"/>
      <c r="S16" s="414" t="str">
        <f t="shared" si="0"/>
        <v>BARRACÕES DE OBRA</v>
      </c>
    </row>
    <row r="17" spans="1:19" s="344" customFormat="1" ht="25.5" hidden="1">
      <c r="A17" s="49" t="s">
        <v>148</v>
      </c>
      <c r="B17" s="49">
        <f>'[3]Plan Tron'!B185</f>
        <v>93206</v>
      </c>
      <c r="C17" s="49" t="str">
        <f>'[3]Plan Tron'!C185</f>
        <v>SINAPI</v>
      </c>
      <c r="D17" s="614" t="str">
        <f>'[3]Plan Tron'!D185</f>
        <v>EXECUÇÃO DE ESCRITÓRIO EM CANTEIRO DE OBRA EM ALVENARIA, NÃO INCLUSO MOBILIÁRIO E EQUIPAMENTOS. AF_02/2016</v>
      </c>
      <c r="E17" s="49" t="str">
        <f>'[3]Plan Tron'!E185</f>
        <v>M²</v>
      </c>
      <c r="F17" s="8">
        <v>150</v>
      </c>
      <c r="G17" s="9">
        <f>ROUND(209.33,2)</f>
        <v>209.33</v>
      </c>
      <c r="H17" s="9">
        <f>'[3]Plan Tron'!F185</f>
        <v>777.39</v>
      </c>
      <c r="I17" s="9">
        <v>26.44</v>
      </c>
      <c r="J17" s="9">
        <f>ROUND(H17*(I17/100+1),2)</f>
        <v>982.93</v>
      </c>
      <c r="K17" s="474">
        <v>150</v>
      </c>
      <c r="L17" s="474">
        <f>F17-K17</f>
        <v>0</v>
      </c>
      <c r="M17" s="471">
        <f t="shared" si="1"/>
        <v>0</v>
      </c>
      <c r="N17" s="405"/>
      <c r="O17" s="541"/>
      <c r="P17" s="405"/>
      <c r="Q17" s="405"/>
      <c r="S17" s="344" t="str">
        <f t="shared" si="0"/>
        <v>EXECUÇÃO DE ESCRITÓRIO EM CANTEIRO DE OBRA EM ALVENARIA, NÃO INCLUSO MOBILIÁRIO E EQUIPAMENTOS. AF_02/2016</v>
      </c>
    </row>
    <row r="18" spans="1:19" s="414" customFormat="1" hidden="1">
      <c r="A18" s="410" t="s">
        <v>19</v>
      </c>
      <c r="B18" s="411"/>
      <c r="C18" s="410"/>
      <c r="D18" s="690" t="s">
        <v>2027</v>
      </c>
      <c r="E18" s="617"/>
      <c r="F18" s="618"/>
      <c r="G18" s="412"/>
      <c r="H18" s="412"/>
      <c r="I18" s="412"/>
      <c r="J18" s="412"/>
      <c r="K18" s="498"/>
      <c r="L18" s="474"/>
      <c r="M18" s="471"/>
      <c r="N18" s="405"/>
      <c r="O18" s="541"/>
      <c r="P18" s="405"/>
      <c r="Q18" s="405"/>
      <c r="S18" s="414" t="str">
        <f t="shared" si="0"/>
        <v>PLACA DE OBRA</v>
      </c>
    </row>
    <row r="19" spans="1:19" s="414" customFormat="1" hidden="1">
      <c r="A19" s="410" t="s">
        <v>147</v>
      </c>
      <c r="B19" s="411"/>
      <c r="C19" s="410"/>
      <c r="D19" s="690" t="s">
        <v>2028</v>
      </c>
      <c r="E19" s="617"/>
      <c r="F19" s="618"/>
      <c r="G19" s="412"/>
      <c r="H19" s="412"/>
      <c r="I19" s="412"/>
      <c r="J19" s="412"/>
      <c r="K19" s="498"/>
      <c r="L19" s="474"/>
      <c r="M19" s="471"/>
      <c r="N19" s="405"/>
      <c r="O19" s="541"/>
      <c r="P19" s="405"/>
      <c r="Q19" s="405"/>
      <c r="S19" s="414" t="str">
        <f t="shared" si="0"/>
        <v>AQUISIÇÃO E ASSENTAMENTO DE PLACA DE OBRA.</v>
      </c>
    </row>
    <row r="20" spans="1:19" s="344" customFormat="1" hidden="1">
      <c r="A20" s="49" t="s">
        <v>146</v>
      </c>
      <c r="B20" s="49" t="str">
        <f>'[3]Plan Tron'!B3</f>
        <v xml:space="preserve">74209/001 </v>
      </c>
      <c r="C20" s="49" t="str">
        <f>'[3]Plan Tron'!C3</f>
        <v>SINAPI</v>
      </c>
      <c r="D20" s="15" t="str">
        <f>'[3]Plan Tron'!D3</f>
        <v xml:space="preserve">PLACA DE OBRA EM CHAPA DE ACO GALVANIZADO </v>
      </c>
      <c r="E20" s="7" t="s">
        <v>2332</v>
      </c>
      <c r="F20" s="8">
        <v>10</v>
      </c>
      <c r="G20" s="9">
        <f>ROUND(309.03,2)</f>
        <v>309.02999999999997</v>
      </c>
      <c r="H20" s="9">
        <f>'[3]Plan Tron'!F3</f>
        <v>320.83</v>
      </c>
      <c r="I20" s="9">
        <v>26.44</v>
      </c>
      <c r="J20" s="9">
        <f>ROUND(H20*(I20/100+1),2)</f>
        <v>405.66</v>
      </c>
      <c r="K20" s="474">
        <v>10</v>
      </c>
      <c r="L20" s="474">
        <f>F20-K20</f>
        <v>0</v>
      </c>
      <c r="M20" s="471">
        <f t="shared" si="1"/>
        <v>0</v>
      </c>
      <c r="N20" s="405"/>
      <c r="O20" s="541"/>
      <c r="P20" s="405"/>
      <c r="Q20" s="405"/>
      <c r="S20" s="344" t="str">
        <f t="shared" si="0"/>
        <v xml:space="preserve">PLACA DE OBRA EM CHAPA DE ACO GALVANIZADO </v>
      </c>
    </row>
    <row r="21" spans="1:19" s="344" customFormat="1" hidden="1">
      <c r="A21" s="49"/>
      <c r="B21" s="14"/>
      <c r="C21" s="49"/>
      <c r="D21" s="603"/>
      <c r="E21" s="7"/>
      <c r="F21" s="8"/>
      <c r="G21" s="9"/>
      <c r="H21" s="9"/>
      <c r="I21" s="9"/>
      <c r="J21" s="9"/>
      <c r="K21" s="603"/>
      <c r="L21" s="474"/>
      <c r="M21" s="471"/>
      <c r="N21" s="405"/>
      <c r="O21" s="541"/>
      <c r="P21" s="405"/>
      <c r="Q21" s="405"/>
    </row>
    <row r="22" spans="1:19" s="344" customFormat="1">
      <c r="A22" s="49"/>
      <c r="B22" s="14"/>
      <c r="C22" s="49"/>
      <c r="D22" s="52" t="s">
        <v>76</v>
      </c>
      <c r="E22" s="7" t="s">
        <v>76</v>
      </c>
      <c r="F22" s="8"/>
      <c r="G22" s="9"/>
      <c r="H22" s="9"/>
      <c r="I22" s="9"/>
      <c r="J22" s="9"/>
      <c r="K22" s="383"/>
      <c r="L22" s="474"/>
      <c r="M22" s="471"/>
      <c r="N22" s="405"/>
      <c r="O22" s="541"/>
      <c r="P22" s="405"/>
      <c r="Q22" s="405"/>
      <c r="S22" s="344" t="str">
        <f t="shared" si="0"/>
        <v/>
      </c>
    </row>
    <row r="23" spans="1:19" s="344" customFormat="1">
      <c r="A23" s="49"/>
      <c r="B23" s="14"/>
      <c r="C23" s="49"/>
      <c r="D23" s="52"/>
      <c r="E23" s="7"/>
      <c r="F23" s="8"/>
      <c r="G23" s="9"/>
      <c r="H23" s="9"/>
      <c r="I23" s="9"/>
      <c r="J23" s="9"/>
      <c r="K23" s="383"/>
      <c r="L23" s="474"/>
      <c r="M23" s="471"/>
      <c r="N23" s="405"/>
      <c r="O23" s="541"/>
      <c r="P23" s="405"/>
      <c r="Q23" s="405"/>
    </row>
    <row r="24" spans="1:19" s="344" customFormat="1">
      <c r="A24" s="45">
        <v>2</v>
      </c>
      <c r="B24" s="12"/>
      <c r="C24" s="45"/>
      <c r="D24" s="396" t="s">
        <v>2029</v>
      </c>
      <c r="E24" s="7" t="s">
        <v>76</v>
      </c>
      <c r="F24" s="8"/>
      <c r="G24" s="9"/>
      <c r="H24" s="9"/>
      <c r="I24" s="9"/>
      <c r="J24" s="9"/>
      <c r="K24" s="383"/>
      <c r="L24" s="474"/>
      <c r="M24" s="471"/>
      <c r="N24" s="405"/>
      <c r="O24" s="541"/>
      <c r="P24" s="405"/>
      <c r="Q24" s="405"/>
      <c r="S24" s="344" t="str">
        <f t="shared" si="0"/>
        <v>ADMINISTRAÇÃO LOCAL</v>
      </c>
    </row>
    <row r="25" spans="1:19" s="344" customFormat="1">
      <c r="A25" s="49" t="s">
        <v>9</v>
      </c>
      <c r="B25" s="16" t="s">
        <v>145</v>
      </c>
      <c r="C25" s="49"/>
      <c r="D25" s="15" t="s">
        <v>2030</v>
      </c>
      <c r="E25" s="7" t="s">
        <v>2333</v>
      </c>
      <c r="F25" s="8">
        <v>18</v>
      </c>
      <c r="G25" s="9">
        <v>26302.61</v>
      </c>
      <c r="H25" s="9">
        <f>G25*$P$7</f>
        <v>30387.405332999999</v>
      </c>
      <c r="I25" s="9">
        <v>26.44</v>
      </c>
      <c r="J25" s="9">
        <f>ROUND(H25*(I25/100+1),2)</f>
        <v>38421.839999999997</v>
      </c>
      <c r="K25" s="474">
        <v>9</v>
      </c>
      <c r="L25" s="474">
        <f>F25-K25</f>
        <v>9</v>
      </c>
      <c r="M25" s="471">
        <f t="shared" si="1"/>
        <v>345796.56</v>
      </c>
      <c r="N25" s="405"/>
      <c r="O25" s="541"/>
      <c r="P25" s="405"/>
      <c r="Q25" s="405"/>
      <c r="S25" s="344" t="str">
        <f t="shared" si="0"/>
        <v>ADMINISTRAÇÃO LOCAL DA OBRA</v>
      </c>
    </row>
    <row r="26" spans="1:19" s="344" customFormat="1">
      <c r="A26" s="49"/>
      <c r="B26" s="14"/>
      <c r="C26" s="49"/>
      <c r="D26" s="603"/>
      <c r="E26" s="7"/>
      <c r="F26" s="8"/>
      <c r="G26" s="9"/>
      <c r="H26" s="9"/>
      <c r="I26" s="9"/>
      <c r="J26" s="9"/>
      <c r="K26" s="603"/>
      <c r="L26" s="604"/>
      <c r="M26" s="471"/>
      <c r="N26" s="405"/>
      <c r="O26" s="541"/>
      <c r="P26" s="405"/>
      <c r="Q26" s="405"/>
    </row>
    <row r="27" spans="1:19" s="344" customFormat="1">
      <c r="A27" s="49"/>
      <c r="B27" s="12"/>
      <c r="C27" s="49"/>
      <c r="D27" s="15" t="s">
        <v>76</v>
      </c>
      <c r="E27" s="7"/>
      <c r="F27" s="8"/>
      <c r="G27" s="9"/>
      <c r="H27" s="9"/>
      <c r="I27" s="9"/>
      <c r="J27" s="9"/>
      <c r="K27" s="383"/>
      <c r="L27" s="474"/>
      <c r="M27" s="471"/>
      <c r="N27" s="405"/>
      <c r="O27" s="541"/>
      <c r="P27" s="405"/>
      <c r="Q27" s="405"/>
      <c r="S27" s="344" t="str">
        <f t="shared" si="0"/>
        <v/>
      </c>
    </row>
    <row r="28" spans="1:19" s="344" customFormat="1">
      <c r="A28" s="49"/>
      <c r="B28" s="12"/>
      <c r="C28" s="49"/>
      <c r="D28" s="15"/>
      <c r="E28" s="7"/>
      <c r="F28" s="8"/>
      <c r="G28" s="9"/>
      <c r="H28" s="9"/>
      <c r="I28" s="9"/>
      <c r="J28" s="9"/>
      <c r="K28" s="383"/>
      <c r="L28" s="474"/>
      <c r="M28" s="471"/>
      <c r="N28" s="405"/>
      <c r="O28" s="541"/>
      <c r="P28" s="405"/>
      <c r="Q28" s="405"/>
    </row>
    <row r="29" spans="1:19" s="344" customFormat="1" hidden="1">
      <c r="A29" s="45">
        <v>3</v>
      </c>
      <c r="B29" s="17"/>
      <c r="C29" s="45"/>
      <c r="D29" s="52" t="s">
        <v>2031</v>
      </c>
      <c r="E29" s="7"/>
      <c r="F29" s="8"/>
      <c r="G29" s="9"/>
      <c r="H29" s="9"/>
      <c r="I29" s="9"/>
      <c r="J29" s="9"/>
      <c r="K29" s="383"/>
      <c r="L29" s="474"/>
      <c r="M29" s="471"/>
      <c r="N29" s="405"/>
      <c r="O29" s="541"/>
      <c r="P29" s="405"/>
      <c r="Q29" s="405"/>
      <c r="S29" s="344" t="str">
        <f t="shared" si="0"/>
        <v>SERVIÇOS TÉCNICOS</v>
      </c>
    </row>
    <row r="30" spans="1:19" s="414" customFormat="1" hidden="1">
      <c r="A30" s="410" t="s">
        <v>144</v>
      </c>
      <c r="B30" s="411"/>
      <c r="C30" s="410"/>
      <c r="D30" s="690" t="s">
        <v>2032</v>
      </c>
      <c r="E30" s="617"/>
      <c r="F30" s="618"/>
      <c r="G30" s="412"/>
      <c r="H30" s="412"/>
      <c r="I30" s="412"/>
      <c r="J30" s="412"/>
      <c r="K30" s="498"/>
      <c r="L30" s="474"/>
      <c r="M30" s="471"/>
      <c r="N30" s="405"/>
      <c r="O30" s="541"/>
      <c r="P30" s="419"/>
      <c r="Q30" s="419"/>
      <c r="S30" s="414" t="str">
        <f t="shared" si="0"/>
        <v>LOCAÇÃO</v>
      </c>
    </row>
    <row r="31" spans="1:19" s="344" customFormat="1" ht="25.5" hidden="1">
      <c r="A31" s="49" t="s">
        <v>143</v>
      </c>
      <c r="B31" s="22" t="str">
        <f>'[3]Plan Tron'!B4</f>
        <v xml:space="preserve">73992/001 </v>
      </c>
      <c r="C31" s="18" t="str">
        <f>'[3]Plan Tron'!C4</f>
        <v>SINAPI</v>
      </c>
      <c r="D31" s="35" t="str">
        <f>'[3]Plan Tron'!D4</f>
        <v>LOCACAO CONVENCIONAL DE OBRA, ATRAVÉS DE GABARITO DE TABUAS CORRIDAS PONTALETADAS A CADA 1,50M, SEM REAPROVEITAMENTO</v>
      </c>
      <c r="E31" s="18" t="s">
        <v>2332</v>
      </c>
      <c r="F31" s="8">
        <v>3490.98</v>
      </c>
      <c r="G31" s="19">
        <f>ROUND(13.99,2)</f>
        <v>13.99</v>
      </c>
      <c r="H31" s="19">
        <f>'[3]Plan Tron'!F4</f>
        <v>8.32</v>
      </c>
      <c r="I31" s="9">
        <v>26.44</v>
      </c>
      <c r="J31" s="9">
        <f>ROUND(H31*(I31/100+1),2)</f>
        <v>10.52</v>
      </c>
      <c r="K31" s="474">
        <v>3490.98</v>
      </c>
      <c r="L31" s="474">
        <f>F31-K31</f>
        <v>0</v>
      </c>
      <c r="M31" s="471">
        <f t="shared" si="1"/>
        <v>0</v>
      </c>
      <c r="N31" s="405"/>
      <c r="O31" s="541"/>
      <c r="P31" s="405"/>
      <c r="Q31" s="405"/>
      <c r="S31" s="344" t="str">
        <f t="shared" si="0"/>
        <v>LOCACAO CONVENCIONAL DE OBRA, ATRAVÉS DE GABARITO DE TABUAS CORRIDAS PONTALETADAS A CADA 1,50M, SEM REAPROVEITAMENTO</v>
      </c>
    </row>
    <row r="32" spans="1:19" s="414" customFormat="1" hidden="1">
      <c r="A32" s="410" t="s">
        <v>142</v>
      </c>
      <c r="B32" s="411"/>
      <c r="C32" s="410"/>
      <c r="D32" s="420" t="s">
        <v>2033</v>
      </c>
      <c r="E32" s="421"/>
      <c r="F32" s="422"/>
      <c r="G32" s="423"/>
      <c r="H32" s="423"/>
      <c r="I32" s="412"/>
      <c r="J32" s="412"/>
      <c r="K32" s="498"/>
      <c r="L32" s="474"/>
      <c r="M32" s="471"/>
      <c r="N32" s="405"/>
      <c r="O32" s="541"/>
      <c r="P32" s="419"/>
      <c r="Q32" s="419"/>
      <c r="S32" s="414" t="str">
        <f t="shared" si="0"/>
        <v>LEVANTAMENTO CADASTRAL</v>
      </c>
    </row>
    <row r="33" spans="1:19" s="344" customFormat="1" hidden="1">
      <c r="A33" s="49" t="s">
        <v>141</v>
      </c>
      <c r="B33" s="23" t="s">
        <v>140</v>
      </c>
      <c r="C33" s="49"/>
      <c r="D33" s="35" t="s">
        <v>2034</v>
      </c>
      <c r="E33" s="18" t="s">
        <v>2334</v>
      </c>
      <c r="F33" s="21">
        <v>1</v>
      </c>
      <c r="G33" s="9">
        <v>24737.599999999999</v>
      </c>
      <c r="H33" s="9">
        <f>G33*$P$7</f>
        <v>28579.349279999999</v>
      </c>
      <c r="I33" s="9">
        <v>26.44</v>
      </c>
      <c r="J33" s="9">
        <f>ROUND(H33*(I33/100+1),2)</f>
        <v>36135.730000000003</v>
      </c>
      <c r="K33" s="383">
        <v>1</v>
      </c>
      <c r="L33" s="474">
        <f>F33-K33</f>
        <v>0</v>
      </c>
      <c r="M33" s="471">
        <f t="shared" si="1"/>
        <v>0</v>
      </c>
      <c r="N33" s="405"/>
      <c r="O33" s="541"/>
      <c r="P33" s="405"/>
      <c r="Q33" s="405"/>
      <c r="S33" s="344" t="str">
        <f t="shared" si="0"/>
        <v>CADASTRO DE OBRAS LOCALIZADAS.</v>
      </c>
    </row>
    <row r="34" spans="1:19" s="344" customFormat="1" hidden="1">
      <c r="A34" s="49"/>
      <c r="B34" s="14"/>
      <c r="C34" s="49"/>
      <c r="D34" s="605"/>
      <c r="E34" s="7"/>
      <c r="F34" s="21"/>
      <c r="G34" s="9"/>
      <c r="H34" s="9"/>
      <c r="I34" s="9"/>
      <c r="J34" s="9"/>
      <c r="K34" s="605"/>
      <c r="L34" s="474"/>
      <c r="M34" s="471"/>
      <c r="N34" s="405"/>
      <c r="O34" s="541"/>
      <c r="P34" s="405"/>
      <c r="Q34" s="405"/>
    </row>
    <row r="35" spans="1:19" s="344" customFormat="1" hidden="1">
      <c r="A35" s="49"/>
      <c r="B35" s="11"/>
      <c r="C35" s="49"/>
      <c r="D35" s="15" t="s">
        <v>76</v>
      </c>
      <c r="E35" s="7"/>
      <c r="F35" s="21"/>
      <c r="G35" s="9"/>
      <c r="H35" s="9"/>
      <c r="I35" s="9"/>
      <c r="J35" s="9"/>
      <c r="K35" s="383"/>
      <c r="L35" s="474"/>
      <c r="M35" s="471"/>
      <c r="N35" s="405"/>
      <c r="O35" s="541"/>
      <c r="P35" s="405"/>
      <c r="Q35" s="405"/>
      <c r="S35" s="344" t="str">
        <f t="shared" si="0"/>
        <v/>
      </c>
    </row>
    <row r="36" spans="1:19" s="344" customFormat="1" hidden="1">
      <c r="A36" s="49"/>
      <c r="B36" s="11"/>
      <c r="C36" s="49"/>
      <c r="D36" s="15"/>
      <c r="E36" s="7"/>
      <c r="F36" s="21"/>
      <c r="G36" s="9"/>
      <c r="H36" s="9"/>
      <c r="I36" s="9"/>
      <c r="J36" s="9"/>
      <c r="K36" s="383"/>
      <c r="L36" s="474"/>
      <c r="M36" s="471"/>
      <c r="N36" s="405"/>
      <c r="O36" s="541"/>
      <c r="P36" s="405"/>
      <c r="Q36" s="405"/>
    </row>
    <row r="37" spans="1:19" s="344" customFormat="1" hidden="1">
      <c r="A37" s="45">
        <v>4</v>
      </c>
      <c r="B37" s="17"/>
      <c r="C37" s="45"/>
      <c r="D37" s="52" t="s">
        <v>2035</v>
      </c>
      <c r="E37" s="7"/>
      <c r="F37" s="21"/>
      <c r="G37" s="9"/>
      <c r="H37" s="9"/>
      <c r="I37" s="9"/>
      <c r="J37" s="9"/>
      <c r="K37" s="383"/>
      <c r="L37" s="474"/>
      <c r="M37" s="471"/>
      <c r="N37" s="405"/>
      <c r="O37" s="541"/>
      <c r="P37" s="405"/>
      <c r="Q37" s="405"/>
      <c r="S37" s="344" t="str">
        <f t="shared" si="0"/>
        <v>SERVIÇOS PRELIMINARES</v>
      </c>
    </row>
    <row r="38" spans="1:19" s="414" customFormat="1" hidden="1">
      <c r="A38" s="410" t="s">
        <v>139</v>
      </c>
      <c r="B38" s="411"/>
      <c r="C38" s="410"/>
      <c r="D38" s="613" t="s">
        <v>2036</v>
      </c>
      <c r="E38" s="424"/>
      <c r="F38" s="422"/>
      <c r="G38" s="412"/>
      <c r="H38" s="412"/>
      <c r="I38" s="412"/>
      <c r="J38" s="412"/>
      <c r="K38" s="498"/>
      <c r="L38" s="474"/>
      <c r="M38" s="471"/>
      <c r="N38" s="405"/>
      <c r="O38" s="541"/>
      <c r="P38" s="419"/>
      <c r="Q38" s="419"/>
      <c r="S38" s="414" t="str">
        <f t="shared" si="0"/>
        <v>PREPARO DO TERRENO</v>
      </c>
    </row>
    <row r="39" spans="1:19" s="414" customFormat="1" hidden="1">
      <c r="A39" s="410" t="s">
        <v>138</v>
      </c>
      <c r="B39" s="411"/>
      <c r="C39" s="410"/>
      <c r="D39" s="613" t="s">
        <v>2037</v>
      </c>
      <c r="E39" s="424"/>
      <c r="F39" s="422"/>
      <c r="G39" s="412"/>
      <c r="H39" s="412"/>
      <c r="I39" s="412"/>
      <c r="J39" s="412"/>
      <c r="K39" s="498"/>
      <c r="L39" s="474"/>
      <c r="M39" s="471"/>
      <c r="N39" s="405"/>
      <c r="O39" s="541"/>
      <c r="P39" s="419"/>
      <c r="Q39" s="419"/>
      <c r="S39" s="414" t="str">
        <f t="shared" si="0"/>
        <v>LIMPEZA DE TERRENO - ROÇADA</v>
      </c>
    </row>
    <row r="40" spans="1:19" s="344" customFormat="1" hidden="1">
      <c r="A40" s="49" t="s">
        <v>137</v>
      </c>
      <c r="B40" s="49" t="str">
        <f>'[3]Plan Tron'!B5</f>
        <v xml:space="preserve">73948/016 </v>
      </c>
      <c r="C40" s="49" t="str">
        <f>'[3]Plan Tron'!C5</f>
        <v>SINAPI</v>
      </c>
      <c r="D40" s="26" t="str">
        <f>'[3]Plan Tron'!D5</f>
        <v xml:space="preserve">LIMPEZA MANUAL DO TERRENO (C/ RASPAGEM SUPERFICIAL) </v>
      </c>
      <c r="E40" s="24" t="s">
        <v>2332</v>
      </c>
      <c r="F40" s="21">
        <v>6542.61</v>
      </c>
      <c r="G40" s="9">
        <f>ROUND(2.95,2)</f>
        <v>2.95</v>
      </c>
      <c r="H40" s="9">
        <f>'[3]Plan Tron'!F5</f>
        <v>4.13</v>
      </c>
      <c r="I40" s="9">
        <v>26.44</v>
      </c>
      <c r="J40" s="9">
        <f>ROUND(H40*(I40/100+1),2)</f>
        <v>5.22</v>
      </c>
      <c r="K40" s="474">
        <v>6542.61</v>
      </c>
      <c r="L40" s="474">
        <f>F40-K40</f>
        <v>0</v>
      </c>
      <c r="M40" s="471">
        <f t="shared" si="1"/>
        <v>0</v>
      </c>
      <c r="N40" s="405"/>
      <c r="O40" s="541"/>
      <c r="P40" s="405"/>
      <c r="Q40" s="405"/>
      <c r="S40" s="344" t="str">
        <f t="shared" si="0"/>
        <v xml:space="preserve">LIMPEZA MANUAL DO TERRENO (C/ RASPAGEM SUPERFICIAL) </v>
      </c>
    </row>
    <row r="41" spans="1:19" s="344" customFormat="1" hidden="1">
      <c r="A41" s="49"/>
      <c r="B41" s="25"/>
      <c r="C41" s="49"/>
      <c r="D41" s="605"/>
      <c r="E41" s="24"/>
      <c r="F41" s="21"/>
      <c r="G41" s="9"/>
      <c r="H41" s="9"/>
      <c r="I41" s="9"/>
      <c r="J41" s="9"/>
      <c r="K41" s="605"/>
      <c r="L41" s="474"/>
      <c r="M41" s="471"/>
      <c r="N41" s="405"/>
      <c r="O41" s="541"/>
      <c r="P41" s="405"/>
      <c r="Q41" s="405"/>
    </row>
    <row r="42" spans="1:19" s="344" customFormat="1" hidden="1">
      <c r="A42" s="49"/>
      <c r="B42" s="11"/>
      <c r="C42" s="49"/>
      <c r="D42" s="15" t="s">
        <v>76</v>
      </c>
      <c r="E42" s="7"/>
      <c r="F42" s="21"/>
      <c r="G42" s="9"/>
      <c r="H42" s="9"/>
      <c r="I42" s="9"/>
      <c r="J42" s="9"/>
      <c r="K42" s="383"/>
      <c r="L42" s="474"/>
      <c r="M42" s="471"/>
      <c r="N42" s="405"/>
      <c r="O42" s="541"/>
      <c r="P42" s="405"/>
      <c r="Q42" s="405"/>
      <c r="S42" s="344" t="str">
        <f t="shared" ref="S42:S72" si="2">UPPER(D42)</f>
        <v/>
      </c>
    </row>
    <row r="43" spans="1:19" s="344" customFormat="1" hidden="1">
      <c r="A43" s="49"/>
      <c r="B43" s="11"/>
      <c r="C43" s="49"/>
      <c r="D43" s="15"/>
      <c r="E43" s="7"/>
      <c r="F43" s="21"/>
      <c r="G43" s="9"/>
      <c r="H43" s="9"/>
      <c r="I43" s="9"/>
      <c r="J43" s="9"/>
      <c r="K43" s="383"/>
      <c r="L43" s="474"/>
      <c r="M43" s="471"/>
      <c r="N43" s="405"/>
      <c r="O43" s="541"/>
      <c r="P43" s="405"/>
      <c r="Q43" s="405"/>
    </row>
    <row r="44" spans="1:19" s="344" customFormat="1" hidden="1">
      <c r="A44" s="45">
        <v>5</v>
      </c>
      <c r="B44" s="25"/>
      <c r="C44" s="45"/>
      <c r="D44" s="397" t="s">
        <v>2038</v>
      </c>
      <c r="E44" s="24"/>
      <c r="F44" s="21"/>
      <c r="G44" s="9"/>
      <c r="H44" s="9"/>
      <c r="I44" s="9"/>
      <c r="J44" s="9"/>
      <c r="K44" s="383"/>
      <c r="L44" s="474"/>
      <c r="M44" s="471"/>
      <c r="N44" s="405"/>
      <c r="O44" s="541"/>
      <c r="P44" s="405"/>
      <c r="Q44" s="405"/>
      <c r="S44" s="344" t="str">
        <f t="shared" si="2"/>
        <v>MOVIMENTO DE TERRA</v>
      </c>
    </row>
    <row r="45" spans="1:19" s="414" customFormat="1" hidden="1">
      <c r="A45" s="410" t="s">
        <v>136</v>
      </c>
      <c r="B45" s="411"/>
      <c r="C45" s="410"/>
      <c r="D45" s="613" t="s">
        <v>2039</v>
      </c>
      <c r="E45" s="424"/>
      <c r="F45" s="422"/>
      <c r="G45" s="412"/>
      <c r="H45" s="412"/>
      <c r="I45" s="412"/>
      <c r="J45" s="412"/>
      <c r="K45" s="498"/>
      <c r="L45" s="474"/>
      <c r="M45" s="471"/>
      <c r="N45" s="405"/>
      <c r="O45" s="541"/>
      <c r="P45" s="419"/>
      <c r="Q45" s="419"/>
      <c r="S45" s="414" t="str">
        <f t="shared" si="2"/>
        <v>CORTE / ESCAVAÇÃO EM JAZIDAS OU CAMPO ABERTO</v>
      </c>
    </row>
    <row r="46" spans="1:19" s="414" customFormat="1" hidden="1">
      <c r="A46" s="410" t="s">
        <v>135</v>
      </c>
      <c r="B46" s="411"/>
      <c r="C46" s="410"/>
      <c r="D46" s="613" t="s">
        <v>2040</v>
      </c>
      <c r="E46" s="424"/>
      <c r="F46" s="422"/>
      <c r="G46" s="412"/>
      <c r="H46" s="412"/>
      <c r="I46" s="412"/>
      <c r="J46" s="412"/>
      <c r="K46" s="498"/>
      <c r="L46" s="474"/>
      <c r="M46" s="471"/>
      <c r="N46" s="405"/>
      <c r="O46" s="541"/>
      <c r="P46" s="419"/>
      <c r="Q46" s="419"/>
      <c r="S46" s="414" t="str">
        <f t="shared" si="2"/>
        <v>ESCAVAÇÃO E CARGA DE MATERIAL DE 1ª CATEGORIA</v>
      </c>
    </row>
    <row r="47" spans="1:19" s="344" customFormat="1" ht="25.5" hidden="1">
      <c r="A47" s="49" t="s">
        <v>134</v>
      </c>
      <c r="B47" s="49" t="str">
        <f>'[3]Plan Tron'!B6</f>
        <v xml:space="preserve">74151/001 </v>
      </c>
      <c r="C47" s="49" t="str">
        <f>'[3]Plan Tron'!C6</f>
        <v>SINAPI</v>
      </c>
      <c r="D47" s="26" t="str">
        <f>'[3]Plan Tron'!D6</f>
        <v>ESCAVACAO E CARGA MATERIAL 1A CATEGORIA, UTILIZANDO TRATOR DE ESTEIRAS DE 110 A 160HP COM LAMINA, PESO OPERACIONAL * 13T E PA CARREGADEIRA COM 170 HP.</v>
      </c>
      <c r="E47" s="24" t="s">
        <v>2335</v>
      </c>
      <c r="F47" s="21">
        <v>1674.64</v>
      </c>
      <c r="G47" s="9">
        <f>ROUND(3.35,2)</f>
        <v>3.35</v>
      </c>
      <c r="H47" s="9">
        <f>'[3]Plan Tron'!F6</f>
        <v>3.37</v>
      </c>
      <c r="I47" s="9">
        <v>26.44</v>
      </c>
      <c r="J47" s="9">
        <f>ROUND(H47*(I47/100+1),2)</f>
        <v>4.26</v>
      </c>
      <c r="K47" s="474">
        <v>1674.64</v>
      </c>
      <c r="L47" s="474">
        <f>F47-K47</f>
        <v>0</v>
      </c>
      <c r="M47" s="471">
        <f t="shared" si="1"/>
        <v>0</v>
      </c>
      <c r="N47" s="405"/>
      <c r="O47" s="541"/>
      <c r="P47" s="405"/>
      <c r="Q47" s="405"/>
      <c r="S47" s="344" t="str">
        <f t="shared" si="2"/>
        <v>ESCAVACAO E CARGA MATERIAL 1A CATEGORIA, UTILIZANDO TRATOR DE ESTEIRAS DE 110 A 160HP COM LAMINA, PESO OPERACIONAL * 13T E PA CARREGADEIRA COM 170 HP.</v>
      </c>
    </row>
    <row r="48" spans="1:19" s="414" customFormat="1" hidden="1">
      <c r="A48" s="410" t="s">
        <v>133</v>
      </c>
      <c r="B48" s="411"/>
      <c r="C48" s="410"/>
      <c r="D48" s="613" t="s">
        <v>2041</v>
      </c>
      <c r="E48" s="424"/>
      <c r="F48" s="422"/>
      <c r="G48" s="412"/>
      <c r="H48" s="412"/>
      <c r="I48" s="412"/>
      <c r="J48" s="412"/>
      <c r="K48" s="498"/>
      <c r="L48" s="474"/>
      <c r="M48" s="471"/>
      <c r="N48" s="405"/>
      <c r="O48" s="541"/>
      <c r="P48" s="419"/>
      <c r="Q48" s="419"/>
      <c r="S48" s="414" t="str">
        <f t="shared" si="2"/>
        <v>ESCAVAÇÃO DE VALAS</v>
      </c>
    </row>
    <row r="49" spans="1:20" s="414" customFormat="1" hidden="1">
      <c r="A49" s="410" t="s">
        <v>132</v>
      </c>
      <c r="B49" s="411"/>
      <c r="C49" s="410"/>
      <c r="D49" s="613" t="s">
        <v>2042</v>
      </c>
      <c r="E49" s="424"/>
      <c r="F49" s="422"/>
      <c r="G49" s="412"/>
      <c r="H49" s="412"/>
      <c r="I49" s="412"/>
      <c r="J49" s="412"/>
      <c r="K49" s="498"/>
      <c r="L49" s="474"/>
      <c r="M49" s="471"/>
      <c r="N49" s="405"/>
      <c r="O49" s="541"/>
      <c r="P49" s="419"/>
      <c r="Q49" s="419"/>
      <c r="S49" s="414" t="str">
        <f t="shared" si="2"/>
        <v>ESCAVAÇÃO MECÂNICA DE CAVAS</v>
      </c>
    </row>
    <row r="50" spans="1:20" s="390" customFormat="1" ht="12.75" hidden="1" customHeight="1">
      <c r="A50" s="49" t="s">
        <v>131</v>
      </c>
      <c r="B50" s="49">
        <f>'[3]Plan Tron'!B7</f>
        <v>60202</v>
      </c>
      <c r="C50" s="49" t="str">
        <f>'[3]Plan Tron'!C7</f>
        <v>CPOS</v>
      </c>
      <c r="D50" s="26" t="str">
        <f>'[3]Plan Tron'!D7</f>
        <v xml:space="preserve">ESCAVAÇÃO MANUAL EM SOLO DE 1ª E 2ª CATEGORIA EM VALA OU CAVA ATÉ 1,50M </v>
      </c>
      <c r="E50" s="24" t="s">
        <v>2335</v>
      </c>
      <c r="F50" s="21">
        <v>3493.75</v>
      </c>
      <c r="G50" s="9">
        <f>ROUND(10.22,2)</f>
        <v>10.220000000000001</v>
      </c>
      <c r="H50" s="9">
        <f>'[3]Plan Tron'!F7</f>
        <v>34.020000000000003</v>
      </c>
      <c r="I50" s="9">
        <v>26.44</v>
      </c>
      <c r="J50" s="9">
        <f>ROUND(H50*(I50/100+1),2)</f>
        <v>43.01</v>
      </c>
      <c r="K50" s="631">
        <v>3493.75</v>
      </c>
      <c r="L50" s="632">
        <f>F50-K50</f>
        <v>0</v>
      </c>
      <c r="M50" s="471">
        <f t="shared" si="1"/>
        <v>0</v>
      </c>
      <c r="N50" s="633"/>
      <c r="O50" s="541"/>
      <c r="P50" s="633"/>
      <c r="Q50" s="633"/>
      <c r="S50" s="390" t="str">
        <f t="shared" si="2"/>
        <v xml:space="preserve">ESCAVAÇÃO MANUAL EM SOLO DE 1ª E 2ª CATEGORIA EM VALA OU CAVA ATÉ 1,50M </v>
      </c>
    </row>
    <row r="51" spans="1:20" s="390" customFormat="1" ht="12.75" hidden="1" customHeight="1">
      <c r="A51" s="49" t="s">
        <v>130</v>
      </c>
      <c r="B51" s="49">
        <f>'[3]Plan Tron'!B8</f>
        <v>60204</v>
      </c>
      <c r="C51" s="49" t="str">
        <f>'[3]Plan Tron'!C8</f>
        <v>CPOS</v>
      </c>
      <c r="D51" s="26" t="str">
        <f>'[3]Plan Tron'!D8</f>
        <v>ESCAVAÇÃO MANUAL EM SOLO DE 1ª E 2ª CATEGORIA EM VALA OU CAVA DE 1,5M A 3M</v>
      </c>
      <c r="E51" s="24" t="s">
        <v>2335</v>
      </c>
      <c r="F51" s="21">
        <v>1452.2</v>
      </c>
      <c r="G51" s="9">
        <f>ROUND(11.73,2)</f>
        <v>11.73</v>
      </c>
      <c r="H51" s="9">
        <f>'[3]Plan Tron'!F8</f>
        <v>44</v>
      </c>
      <c r="I51" s="9">
        <v>26.44</v>
      </c>
      <c r="J51" s="9">
        <f>ROUND(H51*(I51/100+1),2)</f>
        <v>55.63</v>
      </c>
      <c r="K51" s="631">
        <v>1452.2</v>
      </c>
      <c r="L51" s="632">
        <f>F51-K51</f>
        <v>0</v>
      </c>
      <c r="M51" s="471">
        <f t="shared" si="1"/>
        <v>0</v>
      </c>
      <c r="N51" s="633"/>
      <c r="O51" s="541"/>
      <c r="P51" s="633"/>
      <c r="Q51" s="633"/>
      <c r="S51" s="390" t="str">
        <f t="shared" si="2"/>
        <v>ESCAVAÇÃO MANUAL EM SOLO DE 1ª E 2ª CATEGORIA EM VALA OU CAVA DE 1,5M A 3M</v>
      </c>
    </row>
    <row r="52" spans="1:20" s="344" customFormat="1" ht="13.5" hidden="1" customHeight="1">
      <c r="A52" s="49" t="s">
        <v>129</v>
      </c>
      <c r="B52" s="49">
        <f>B51</f>
        <v>60204</v>
      </c>
      <c r="C52" s="49" t="str">
        <f>C51</f>
        <v>CPOS</v>
      </c>
      <c r="D52" s="26" t="str">
        <f>D51</f>
        <v>ESCAVAÇÃO MANUAL EM SOLO DE 1ª E 2ª CATEGORIA EM VALA OU CAVA DE 1,5M A 3M</v>
      </c>
      <c r="E52" s="24" t="str">
        <f>E51</f>
        <v>M³</v>
      </c>
      <c r="F52" s="21">
        <v>99.56</v>
      </c>
      <c r="G52" s="9">
        <f>ROUND(11.73,2)</f>
        <v>11.73</v>
      </c>
      <c r="H52" s="9">
        <f>H51</f>
        <v>44</v>
      </c>
      <c r="I52" s="9">
        <v>26.44</v>
      </c>
      <c r="J52" s="9">
        <f>ROUND(H52*(I52/100+1),2)</f>
        <v>55.63</v>
      </c>
      <c r="K52" s="383">
        <v>99.56</v>
      </c>
      <c r="L52" s="474">
        <f>F52-K52</f>
        <v>0</v>
      </c>
      <c r="M52" s="471">
        <f t="shared" si="1"/>
        <v>0</v>
      </c>
      <c r="N52" s="405"/>
      <c r="O52" s="541"/>
      <c r="P52" s="405"/>
      <c r="Q52" s="405"/>
      <c r="S52" s="344" t="str">
        <f t="shared" si="2"/>
        <v>ESCAVAÇÃO MANUAL EM SOLO DE 1ª E 2ª CATEGORIA EM VALA OU CAVA DE 1,5M A 3M</v>
      </c>
    </row>
    <row r="53" spans="1:20" s="414" customFormat="1" hidden="1">
      <c r="A53" s="410" t="s">
        <v>128</v>
      </c>
      <c r="B53" s="411"/>
      <c r="C53" s="410"/>
      <c r="D53" s="613" t="s">
        <v>2043</v>
      </c>
      <c r="E53" s="424"/>
      <c r="F53" s="422"/>
      <c r="G53" s="412"/>
      <c r="H53" s="412"/>
      <c r="I53" s="412"/>
      <c r="J53" s="412"/>
      <c r="K53" s="498"/>
      <c r="L53" s="474"/>
      <c r="M53" s="471"/>
      <c r="N53" s="405"/>
      <c r="O53" s="541"/>
      <c r="P53" s="419"/>
      <c r="Q53" s="419"/>
      <c r="S53" s="414" t="str">
        <f t="shared" si="2"/>
        <v>ESCAVAÇÃO MECÂNICA DE VALAS</v>
      </c>
    </row>
    <row r="54" spans="1:20" s="344" customFormat="1" hidden="1">
      <c r="A54" s="49" t="s">
        <v>127</v>
      </c>
      <c r="B54" s="49">
        <f>'[3]Plan Tron'!B11</f>
        <v>70202</v>
      </c>
      <c r="C54" s="49" t="str">
        <f>'[3]Plan Tron'!C11</f>
        <v>CPOS</v>
      </c>
      <c r="D54" s="26" t="str">
        <f>'[3]Plan Tron'!D11</f>
        <v xml:space="preserve">ESCAVAÇÃO MECANIZADA DE VALAS OU CAVAS COM ALTURA ATÉ 2,00 M </v>
      </c>
      <c r="E54" s="24" t="s">
        <v>2335</v>
      </c>
      <c r="F54" s="21">
        <v>139.30000000000001</v>
      </c>
      <c r="G54" s="9">
        <f>ROUND(4.88,2)</f>
        <v>4.88</v>
      </c>
      <c r="H54" s="9">
        <f>'[3]Plan Tron'!F11</f>
        <v>5.68</v>
      </c>
      <c r="I54" s="9">
        <v>26.44</v>
      </c>
      <c r="J54" s="9">
        <f>ROUND(H54*(I54/100+1),2)</f>
        <v>7.18</v>
      </c>
      <c r="K54" s="712">
        <v>139.30000000000001</v>
      </c>
      <c r="L54" s="474">
        <f>F54-K54</f>
        <v>0</v>
      </c>
      <c r="M54" s="471">
        <f t="shared" si="1"/>
        <v>0</v>
      </c>
      <c r="N54" s="405"/>
      <c r="O54" s="541"/>
      <c r="P54" s="405"/>
      <c r="Q54" s="405"/>
      <c r="S54" s="344" t="str">
        <f t="shared" si="2"/>
        <v xml:space="preserve">ESCAVAÇÃO MECANIZADA DE VALAS OU CAVAS COM ALTURA ATÉ 2,00 M </v>
      </c>
    </row>
    <row r="55" spans="1:20" s="414" customFormat="1">
      <c r="A55" s="410" t="s">
        <v>126</v>
      </c>
      <c r="B55" s="411"/>
      <c r="C55" s="410"/>
      <c r="D55" s="613" t="s">
        <v>2044</v>
      </c>
      <c r="E55" s="424"/>
      <c r="F55" s="422"/>
      <c r="G55" s="412"/>
      <c r="H55" s="412"/>
      <c r="I55" s="412"/>
      <c r="J55" s="412"/>
      <c r="K55" s="498"/>
      <c r="L55" s="474"/>
      <c r="M55" s="471"/>
      <c r="N55" s="405"/>
      <c r="O55" s="541"/>
      <c r="P55" s="419"/>
      <c r="Q55" s="419"/>
      <c r="S55" s="414" t="str">
        <f t="shared" si="2"/>
        <v>ATERRO / REATERRO DE VALAS COM OU S/ COMPACTAÇÃO</v>
      </c>
    </row>
    <row r="56" spans="1:20" s="414" customFormat="1">
      <c r="A56" s="410" t="s">
        <v>125</v>
      </c>
      <c r="B56" s="411"/>
      <c r="C56" s="410"/>
      <c r="D56" s="613" t="s">
        <v>2045</v>
      </c>
      <c r="E56" s="424"/>
      <c r="F56" s="422"/>
      <c r="G56" s="412"/>
      <c r="H56" s="412"/>
      <c r="I56" s="412"/>
      <c r="J56" s="412"/>
      <c r="K56" s="498"/>
      <c r="L56" s="474"/>
      <c r="M56" s="471"/>
      <c r="N56" s="405"/>
      <c r="O56" s="541"/>
      <c r="P56" s="419"/>
      <c r="Q56" s="419"/>
      <c r="S56" s="414" t="str">
        <f t="shared" si="2"/>
        <v>REATERRO DE VALAS</v>
      </c>
    </row>
    <row r="57" spans="1:20" s="344" customFormat="1">
      <c r="A57" s="49" t="s">
        <v>124</v>
      </c>
      <c r="B57" s="49" t="str">
        <f>'[3]Plan Tron'!B12</f>
        <v xml:space="preserve">73964/006 </v>
      </c>
      <c r="C57" s="49" t="str">
        <f>'[3]Plan Tron'!C12</f>
        <v>SINAPI</v>
      </c>
      <c r="D57" s="26" t="str">
        <f>'[3]Plan Tron'!D12</f>
        <v xml:space="preserve">REATERRO DE VALA COM COMPACTAÇÃO MANUAL </v>
      </c>
      <c r="E57" s="24" t="s">
        <v>2335</v>
      </c>
      <c r="F57" s="21">
        <v>3349.27</v>
      </c>
      <c r="G57" s="9">
        <f>ROUND(20.67,2)</f>
        <v>20.67</v>
      </c>
      <c r="H57" s="9">
        <f>'[3]Plan Tron'!F12</f>
        <v>49.62</v>
      </c>
      <c r="I57" s="9">
        <v>26.44</v>
      </c>
      <c r="J57" s="9">
        <f>ROUND(H57*(I57/100+1),2)</f>
        <v>62.74</v>
      </c>
      <c r="K57" s="712">
        <v>2027.6</v>
      </c>
      <c r="L57" s="474">
        <f>F57-K57</f>
        <v>1321.67</v>
      </c>
      <c r="M57" s="471">
        <f t="shared" si="1"/>
        <v>82921.58</v>
      </c>
      <c r="N57" s="405"/>
      <c r="O57" s="541"/>
      <c r="P57" s="405"/>
      <c r="Q57" s="405"/>
      <c r="S57" s="344" t="str">
        <f t="shared" si="2"/>
        <v xml:space="preserve">REATERRO DE VALA COM COMPACTAÇÃO MANUAL </v>
      </c>
    </row>
    <row r="58" spans="1:20" s="414" customFormat="1">
      <c r="A58" s="410" t="s">
        <v>123</v>
      </c>
      <c r="B58" s="411"/>
      <c r="C58" s="410"/>
      <c r="D58" s="613" t="s">
        <v>2046</v>
      </c>
      <c r="E58" s="424"/>
      <c r="F58" s="422"/>
      <c r="G58" s="412"/>
      <c r="H58" s="412"/>
      <c r="I58" s="412"/>
      <c r="J58" s="412"/>
      <c r="K58" s="498"/>
      <c r="L58" s="476"/>
      <c r="M58" s="471">
        <f t="shared" si="1"/>
        <v>0</v>
      </c>
      <c r="N58" s="419"/>
      <c r="O58" s="620"/>
      <c r="P58" s="419"/>
      <c r="Q58" s="419"/>
      <c r="S58" s="414" t="str">
        <f t="shared" si="2"/>
        <v>CARGA, DESCARGA E/OU TRANSPORTE DE MATERIAIS</v>
      </c>
    </row>
    <row r="59" spans="1:20" s="344" customFormat="1">
      <c r="A59" s="49" t="s">
        <v>122</v>
      </c>
      <c r="B59" s="49">
        <f>'[3]Plan Tron'!B13</f>
        <v>72885</v>
      </c>
      <c r="C59" s="49" t="str">
        <f>'[3]Plan Tron'!C13</f>
        <v>SINAPI</v>
      </c>
      <c r="D59" s="26" t="str">
        <f>'[3]Plan Tron'!D13</f>
        <v>TRANSPORTE COMERCIAL COM CAMINHAO BASCULANTE 6 M3, RODOVIA EM LEITO NATURAL</v>
      </c>
      <c r="E59" s="77" t="str">
        <f>'[3]Plan Tron'!E13</f>
        <v>M³ X KM</v>
      </c>
      <c r="F59" s="21">
        <v>13755.11</v>
      </c>
      <c r="G59" s="9">
        <f>ROUND(1.03,2)</f>
        <v>1.03</v>
      </c>
      <c r="H59" s="9">
        <f>'[3]Plan Tron'!F13</f>
        <v>1.37</v>
      </c>
      <c r="I59" s="9">
        <v>26.44</v>
      </c>
      <c r="J59" s="9">
        <f>ROUND(H59*(I59/100+1),2)</f>
        <v>1.73</v>
      </c>
      <c r="K59" s="712">
        <v>6877.5599999999995</v>
      </c>
      <c r="L59" s="474">
        <f>F59-K59</f>
        <v>6877.5500000000011</v>
      </c>
      <c r="M59" s="471">
        <f t="shared" si="1"/>
        <v>11898.16</v>
      </c>
      <c r="N59" s="405"/>
      <c r="O59" s="541"/>
      <c r="P59" s="405"/>
      <c r="Q59" s="405"/>
      <c r="S59" s="344" t="str">
        <f t="shared" si="2"/>
        <v>TRANSPORTE COMERCIAL COM CAMINHAO BASCULANTE 6 M3, RODOVIA EM LEITO NATURAL</v>
      </c>
      <c r="T59" s="391"/>
    </row>
    <row r="60" spans="1:20" s="344" customFormat="1" ht="25.5">
      <c r="A60" s="49" t="s">
        <v>121</v>
      </c>
      <c r="B60" s="49">
        <f>'[3]Plan Tron'!B14</f>
        <v>72888</v>
      </c>
      <c r="C60" s="49" t="str">
        <f>'[3]Plan Tron'!C14</f>
        <v>SINAPI</v>
      </c>
      <c r="D60" s="26" t="str">
        <f>'[3]Plan Tron'!D14</f>
        <v>CARGA, MANOBRAS E DESCARGA DE AREIA, BRITA, PEDRA DE MAO E SOLOS COM CAMINHAO BASCULANTE 6 M3 (DESCARGA LIVRE)</v>
      </c>
      <c r="E60" s="77" t="str">
        <f>'[3]Plan Tron'!E14</f>
        <v>M³</v>
      </c>
      <c r="F60" s="21">
        <v>2751.02</v>
      </c>
      <c r="G60" s="9">
        <f>ROUND(0.81,2)</f>
        <v>0.81</v>
      </c>
      <c r="H60" s="9">
        <f>'[3]Plan Tron'!F14</f>
        <v>0.96</v>
      </c>
      <c r="I60" s="9">
        <v>26.44</v>
      </c>
      <c r="J60" s="9">
        <f>ROUND(H60*(I60/100+1),2)</f>
        <v>1.21</v>
      </c>
      <c r="K60" s="712">
        <v>1375.51</v>
      </c>
      <c r="L60" s="474">
        <f>F60-K60</f>
        <v>1375.51</v>
      </c>
      <c r="M60" s="471">
        <f t="shared" si="1"/>
        <v>1664.37</v>
      </c>
      <c r="N60" s="405"/>
      <c r="O60" s="541"/>
      <c r="P60" s="405"/>
      <c r="Q60" s="405"/>
      <c r="S60" s="344" t="str">
        <f t="shared" si="2"/>
        <v>CARGA, MANOBRAS E DESCARGA DE AREIA, BRITA, PEDRA DE MAO E SOLOS COM CAMINHAO BASCULANTE 6 M3 (DESCARGA LIVRE)</v>
      </c>
      <c r="T60" s="391"/>
    </row>
    <row r="61" spans="1:20" s="344" customFormat="1">
      <c r="A61" s="49"/>
      <c r="B61" s="17"/>
      <c r="C61" s="49"/>
      <c r="D61" s="605"/>
      <c r="E61" s="7"/>
      <c r="F61" s="10"/>
      <c r="G61" s="27"/>
      <c r="H61" s="27"/>
      <c r="I61" s="9"/>
      <c r="J61" s="9"/>
      <c r="K61" s="605"/>
      <c r="L61" s="451"/>
      <c r="M61" s="471"/>
      <c r="N61" s="405"/>
      <c r="O61" s="541"/>
      <c r="P61" s="405"/>
      <c r="Q61" s="405"/>
    </row>
    <row r="62" spans="1:20" s="344" customFormat="1">
      <c r="A62" s="49"/>
      <c r="B62" s="11"/>
      <c r="C62" s="49"/>
      <c r="D62" s="15" t="s">
        <v>76</v>
      </c>
      <c r="E62" s="7"/>
      <c r="F62" s="21"/>
      <c r="G62" s="9"/>
      <c r="H62" s="9"/>
      <c r="I62" s="9"/>
      <c r="J62" s="9"/>
      <c r="K62" s="383"/>
      <c r="L62" s="474"/>
      <c r="M62" s="471"/>
      <c r="N62" s="405"/>
      <c r="O62" s="541"/>
      <c r="P62" s="405"/>
      <c r="Q62" s="405"/>
      <c r="S62" s="344" t="str">
        <f t="shared" si="2"/>
        <v/>
      </c>
    </row>
    <row r="63" spans="1:20" s="344" customFormat="1">
      <c r="A63" s="45">
        <v>6</v>
      </c>
      <c r="B63" s="25"/>
      <c r="C63" s="45"/>
      <c r="D63" s="397" t="s">
        <v>2047</v>
      </c>
      <c r="E63" s="24"/>
      <c r="F63" s="21"/>
      <c r="G63" s="27"/>
      <c r="H63" s="27"/>
      <c r="I63" s="9"/>
      <c r="J63" s="9"/>
      <c r="K63" s="383"/>
      <c r="L63" s="474"/>
      <c r="M63" s="471"/>
      <c r="N63" s="405"/>
      <c r="O63" s="541"/>
      <c r="P63" s="405"/>
      <c r="Q63" s="405"/>
      <c r="S63" s="344" t="str">
        <f t="shared" si="2"/>
        <v>DRENAGEM / POÇOS DE VISITA E CAIXAS</v>
      </c>
    </row>
    <row r="64" spans="1:20" s="414" customFormat="1">
      <c r="A64" s="650" t="s">
        <v>120</v>
      </c>
      <c r="B64" s="411"/>
      <c r="C64" s="410"/>
      <c r="D64" s="613" t="s">
        <v>2048</v>
      </c>
      <c r="E64" s="424"/>
      <c r="F64" s="422"/>
      <c r="G64" s="619"/>
      <c r="H64" s="619"/>
      <c r="I64" s="412"/>
      <c r="J64" s="412"/>
      <c r="K64" s="498"/>
      <c r="L64" s="474"/>
      <c r="M64" s="471"/>
      <c r="N64" s="405"/>
      <c r="O64" s="541"/>
      <c r="P64" s="419"/>
      <c r="Q64" s="419"/>
      <c r="S64" s="414" t="str">
        <f t="shared" si="2"/>
        <v>ESGOTAMENTO COM BOMBA</v>
      </c>
    </row>
    <row r="65" spans="1:19" s="414" customFormat="1">
      <c r="A65" s="650" t="s">
        <v>119</v>
      </c>
      <c r="B65" s="432"/>
      <c r="C65" s="410"/>
      <c r="D65" s="613" t="s">
        <v>2049</v>
      </c>
      <c r="E65" s="424"/>
      <c r="F65" s="422"/>
      <c r="G65" s="412"/>
      <c r="H65" s="412"/>
      <c r="I65" s="412"/>
      <c r="J65" s="412"/>
      <c r="K65" s="498"/>
      <c r="L65" s="474"/>
      <c r="M65" s="471"/>
      <c r="N65" s="405"/>
      <c r="O65" s="541"/>
      <c r="P65" s="419"/>
      <c r="Q65" s="419"/>
      <c r="S65" s="414" t="str">
        <f t="shared" si="2"/>
        <v>ESGOTAMENTO COM BOMBAS</v>
      </c>
    </row>
    <row r="66" spans="1:19" s="344" customFormat="1">
      <c r="A66" s="55" t="s">
        <v>118</v>
      </c>
      <c r="B66" s="23" t="str">
        <f>'[3]Plan Tron'!B15</f>
        <v>73891/001</v>
      </c>
      <c r="C66" s="49" t="str">
        <f>'[3]Plan Tron'!C15</f>
        <v>SINAPI</v>
      </c>
      <c r="D66" s="26" t="str">
        <f>'[3]Plan Tron'!D15</f>
        <v>ESGOTAMENTO COM MOTO-BOMBA AUTOESCORVANTE.</v>
      </c>
      <c r="E66" s="77" t="str">
        <f>'[3]Plan Tron'!E15</f>
        <v>H</v>
      </c>
      <c r="F66" s="21">
        <v>720</v>
      </c>
      <c r="G66" s="9">
        <f>ROUND(3.9,2)</f>
        <v>3.9</v>
      </c>
      <c r="H66" s="9">
        <f>'[3]Plan Tron'!F15</f>
        <v>6.36</v>
      </c>
      <c r="I66" s="9">
        <v>26.44</v>
      </c>
      <c r="J66" s="9">
        <f>ROUND(H66*(I66/100+1),2)</f>
        <v>8.0399999999999991</v>
      </c>
      <c r="K66" s="383">
        <v>0</v>
      </c>
      <c r="L66" s="474">
        <f>F66-K66</f>
        <v>720</v>
      </c>
      <c r="M66" s="471">
        <f t="shared" si="1"/>
        <v>5788.8</v>
      </c>
      <c r="N66" s="405"/>
      <c r="O66" s="541"/>
      <c r="P66" s="405"/>
      <c r="Q66" s="405"/>
      <c r="S66" s="344" t="str">
        <f t="shared" si="2"/>
        <v>ESGOTAMENTO COM MOTO-BOMBA AUTOESCORVANTE.</v>
      </c>
    </row>
    <row r="67" spans="1:19" s="414" customFormat="1">
      <c r="A67" s="650" t="s">
        <v>116</v>
      </c>
      <c r="B67" s="411"/>
      <c r="C67" s="410"/>
      <c r="D67" s="613" t="s">
        <v>2050</v>
      </c>
      <c r="E67" s="424"/>
      <c r="F67" s="422"/>
      <c r="G67" s="619"/>
      <c r="H67" s="619"/>
      <c r="I67" s="412"/>
      <c r="J67" s="412"/>
      <c r="K67" s="498"/>
      <c r="L67" s="474"/>
      <c r="M67" s="471"/>
      <c r="N67" s="405"/>
      <c r="O67" s="541"/>
      <c r="P67" s="419"/>
      <c r="Q67" s="419"/>
      <c r="S67" s="414" t="str">
        <f t="shared" si="2"/>
        <v>REBAIXAMENTO DO LENÇOL FREÁTICO</v>
      </c>
    </row>
    <row r="68" spans="1:19" s="414" customFormat="1">
      <c r="A68" s="650" t="s">
        <v>115</v>
      </c>
      <c r="B68" s="432"/>
      <c r="C68" s="410"/>
      <c r="D68" s="613" t="s">
        <v>2051</v>
      </c>
      <c r="E68" s="424"/>
      <c r="F68" s="422"/>
      <c r="G68" s="412"/>
      <c r="H68" s="412"/>
      <c r="I68" s="412"/>
      <c r="J68" s="412"/>
      <c r="K68" s="498"/>
      <c r="L68" s="474"/>
      <c r="M68" s="471"/>
      <c r="N68" s="405"/>
      <c r="O68" s="541"/>
      <c r="P68" s="419"/>
      <c r="Q68" s="419"/>
      <c r="S68" s="414" t="str">
        <f t="shared" si="2"/>
        <v>MEIA CANA DE CONCRETO</v>
      </c>
    </row>
    <row r="69" spans="1:19" s="344" customFormat="1">
      <c r="A69" s="55" t="s">
        <v>114</v>
      </c>
      <c r="B69" s="23" t="str">
        <f>'[3]Plan Tron'!B16</f>
        <v xml:space="preserve">73882/005 </v>
      </c>
      <c r="C69" s="49" t="str">
        <f>'[3]Plan Tron'!C16</f>
        <v>SINAPI</v>
      </c>
      <c r="D69" s="703" t="str">
        <f>'[3]Plan Tron'!D16</f>
        <v xml:space="preserve">CALHA EM CONCRETO SIMPLES, EM MEIA CANA DE CONCRETO, DIAMETRO 600 MM </v>
      </c>
      <c r="E69" s="77" t="str">
        <f>'[3]Plan Tron'!E16</f>
        <v>M</v>
      </c>
      <c r="F69" s="21">
        <v>225.48</v>
      </c>
      <c r="G69" s="9">
        <f>ROUND(30.2,2)</f>
        <v>30.2</v>
      </c>
      <c r="H69" s="9">
        <f>'[3]Plan Tron'!F16</f>
        <v>77.2</v>
      </c>
      <c r="I69" s="9">
        <v>26.44</v>
      </c>
      <c r="J69" s="9">
        <f>ROUND(H69*(I69/100+1),2)</f>
        <v>97.61</v>
      </c>
      <c r="K69" s="383">
        <v>0</v>
      </c>
      <c r="L69" s="474">
        <f>F69-K69</f>
        <v>225.48</v>
      </c>
      <c r="M69" s="471">
        <f t="shared" si="1"/>
        <v>22009.1</v>
      </c>
      <c r="N69" s="405"/>
      <c r="O69" s="541"/>
      <c r="P69" s="405"/>
      <c r="Q69" s="405"/>
      <c r="S69" s="344" t="str">
        <f t="shared" si="2"/>
        <v xml:space="preserve">CALHA EM CONCRETO SIMPLES, EM MEIA CANA DE CONCRETO, DIAMETRO 600 MM </v>
      </c>
    </row>
    <row r="70" spans="1:19" s="414" customFormat="1">
      <c r="A70" s="650" t="s">
        <v>113</v>
      </c>
      <c r="B70" s="411"/>
      <c r="C70" s="410"/>
      <c r="D70" s="613" t="s">
        <v>2052</v>
      </c>
      <c r="E70" s="424"/>
      <c r="F70" s="422"/>
      <c r="G70" s="619"/>
      <c r="H70" s="619"/>
      <c r="I70" s="412"/>
      <c r="J70" s="412"/>
      <c r="K70" s="498"/>
      <c r="L70" s="474"/>
      <c r="M70" s="471"/>
      <c r="N70" s="405"/>
      <c r="O70" s="541"/>
      <c r="P70" s="419"/>
      <c r="Q70" s="419"/>
      <c r="S70" s="414" t="str">
        <f t="shared" si="2"/>
        <v>MEIO FIO, LINHA D'ÁGUA E SARJETA</v>
      </c>
    </row>
    <row r="71" spans="1:19" s="414" customFormat="1">
      <c r="A71" s="650" t="s">
        <v>112</v>
      </c>
      <c r="B71" s="432"/>
      <c r="C71" s="410"/>
      <c r="D71" s="613" t="s">
        <v>2053</v>
      </c>
      <c r="E71" s="424"/>
      <c r="F71" s="422"/>
      <c r="G71" s="412"/>
      <c r="H71" s="412"/>
      <c r="I71" s="412"/>
      <c r="J71" s="412"/>
      <c r="K71" s="498"/>
      <c r="L71" s="474"/>
      <c r="M71" s="471"/>
      <c r="N71" s="405"/>
      <c r="O71" s="541"/>
      <c r="P71" s="419"/>
      <c r="Q71" s="419"/>
      <c r="S71" s="414" t="str">
        <f t="shared" si="2"/>
        <v>MEIO-FIO</v>
      </c>
    </row>
    <row r="72" spans="1:19" s="344" customFormat="1" ht="38.25">
      <c r="A72" s="55" t="s">
        <v>111</v>
      </c>
      <c r="B72" s="23">
        <f>'[3]Plan Tron'!B17</f>
        <v>94273</v>
      </c>
      <c r="C72" s="49" t="str">
        <f>'[3]Plan Tron'!C17</f>
        <v>SINAPI</v>
      </c>
      <c r="D72" s="84" t="str">
        <f>'[3]Plan Tron'!D17</f>
        <v>ASSENTAMENTO DE GUIA (MEIO-FIO) EM TRECHO RETO, CONFECCIONADA EM CONCRETO PRÉ-FABRICADO, DIMENSÕES 100X15X13X30 CM (COMPRIMENTO X BASE INFERIOR X BASE SUPERIOR X ALTURA), PARA VIAS URBANAS (USO VIÁRIO). AF_06/2016</v>
      </c>
      <c r="E72" s="77" t="str">
        <f>'[3]Plan Tron'!E17</f>
        <v>M</v>
      </c>
      <c r="F72" s="21">
        <v>1008.68</v>
      </c>
      <c r="G72" s="9">
        <f>ROUND(34.9,2)</f>
        <v>34.9</v>
      </c>
      <c r="H72" s="9">
        <f>'[3]Plan Tron'!F17</f>
        <v>37.42</v>
      </c>
      <c r="I72" s="9">
        <v>26.44</v>
      </c>
      <c r="J72" s="9">
        <f>ROUND(H72*(I72/100+1),2)</f>
        <v>47.31</v>
      </c>
      <c r="K72" s="383">
        <v>0</v>
      </c>
      <c r="L72" s="474">
        <f>F72-K72</f>
        <v>1008.68</v>
      </c>
      <c r="M72" s="471">
        <f t="shared" si="1"/>
        <v>47720.65</v>
      </c>
      <c r="N72" s="405"/>
      <c r="O72" s="541"/>
      <c r="P72" s="405"/>
      <c r="Q72" s="405"/>
      <c r="S72" s="344" t="str">
        <f t="shared" si="2"/>
        <v>ASSENTAMENTO DE GUIA (MEIO-FIO) EM TRECHO RETO, CONFECCIONADA EM CONCRETO PRÉ-FABRICADO, DIMENSÕES 100X15X13X30 CM (COMPRIMENTO X BASE INFERIOR X BASE SUPERIOR X ALTURA), PARA VIAS URBANAS (USO VIÁRIO). AF_06/2016</v>
      </c>
    </row>
    <row r="73" spans="1:19" s="344" customFormat="1">
      <c r="A73" s="49"/>
      <c r="B73" s="17"/>
      <c r="C73" s="49"/>
      <c r="D73" s="451"/>
      <c r="E73" s="7"/>
      <c r="F73" s="10"/>
      <c r="G73" s="9"/>
      <c r="H73" s="9"/>
      <c r="I73" s="9"/>
      <c r="J73" s="9"/>
      <c r="K73" s="451"/>
      <c r="L73" s="474"/>
      <c r="M73" s="471"/>
      <c r="N73" s="405"/>
      <c r="O73" s="541"/>
      <c r="P73" s="405"/>
      <c r="Q73" s="405"/>
    </row>
    <row r="74" spans="1:19" s="344" customFormat="1">
      <c r="A74" s="49"/>
      <c r="B74" s="17"/>
      <c r="C74" s="49"/>
      <c r="D74" s="451"/>
      <c r="E74" s="7"/>
      <c r="F74" s="10"/>
      <c r="G74" s="9"/>
      <c r="H74" s="9"/>
      <c r="I74" s="9"/>
      <c r="J74" s="9"/>
      <c r="K74" s="451"/>
      <c r="L74" s="474"/>
      <c r="M74" s="471"/>
      <c r="N74" s="405"/>
      <c r="O74" s="541"/>
      <c r="P74" s="405"/>
      <c r="Q74" s="405"/>
    </row>
    <row r="75" spans="1:19" s="344" customFormat="1">
      <c r="A75" s="45">
        <v>7</v>
      </c>
      <c r="B75" s="23"/>
      <c r="C75" s="45"/>
      <c r="D75" s="397" t="s">
        <v>2054</v>
      </c>
      <c r="E75" s="24"/>
      <c r="F75" s="21"/>
      <c r="G75" s="9"/>
      <c r="H75" s="9"/>
      <c r="I75" s="9"/>
      <c r="J75" s="9"/>
      <c r="K75" s="383"/>
      <c r="L75" s="474"/>
      <c r="M75" s="471"/>
      <c r="N75" s="405"/>
      <c r="O75" s="541"/>
      <c r="P75" s="405"/>
      <c r="Q75" s="405"/>
      <c r="S75" s="344" t="str">
        <f t="shared" ref="S75:S122" si="3">UPPER(D75)</f>
        <v>FUNDAÇÕES E ESTRUTURAS</v>
      </c>
    </row>
    <row r="76" spans="1:19" s="414" customFormat="1">
      <c r="A76" s="410" t="s">
        <v>109</v>
      </c>
      <c r="B76" s="425"/>
      <c r="C76" s="410"/>
      <c r="D76" s="420" t="s">
        <v>2055</v>
      </c>
      <c r="E76" s="640"/>
      <c r="F76" s="423"/>
      <c r="G76" s="423"/>
      <c r="H76" s="423"/>
      <c r="I76" s="412"/>
      <c r="J76" s="412"/>
      <c r="K76" s="498"/>
      <c r="L76" s="474"/>
      <c r="M76" s="471"/>
      <c r="N76" s="405"/>
      <c r="O76" s="541"/>
      <c r="P76" s="419"/>
      <c r="Q76" s="419"/>
      <c r="S76" s="414" t="str">
        <f t="shared" si="3"/>
        <v>LASTROS / FUNDAÇÕES DIRETAS</v>
      </c>
    </row>
    <row r="77" spans="1:19" s="414" customFormat="1">
      <c r="A77" s="410" t="s">
        <v>108</v>
      </c>
      <c r="B77" s="425"/>
      <c r="C77" s="410"/>
      <c r="D77" s="420" t="s">
        <v>2056</v>
      </c>
      <c r="E77" s="424"/>
      <c r="F77" s="422"/>
      <c r="G77" s="412"/>
      <c r="H77" s="412"/>
      <c r="I77" s="412"/>
      <c r="J77" s="412"/>
      <c r="K77" s="498"/>
      <c r="L77" s="474"/>
      <c r="M77" s="471"/>
      <c r="N77" s="405"/>
      <c r="O77" s="541"/>
      <c r="P77" s="419"/>
      <c r="Q77" s="419"/>
      <c r="S77" s="414" t="str">
        <f t="shared" si="3"/>
        <v>LASTRO DE PEDRA BRITADA E FUNDAÇÕES EM BALDRAME.</v>
      </c>
    </row>
    <row r="78" spans="1:19" s="344" customFormat="1">
      <c r="A78" s="49" t="s">
        <v>107</v>
      </c>
      <c r="B78" s="49">
        <f>'[3]Plan Tron'!B18</f>
        <v>6514</v>
      </c>
      <c r="C78" s="49" t="str">
        <f>'[3]Plan Tron'!C18</f>
        <v>SINAPI</v>
      </c>
      <c r="D78" s="35" t="str">
        <f>'[3]Plan Tron'!D18</f>
        <v xml:space="preserve">FORNECIMENTO E LANCAMENTO DE BRITA N. 4 </v>
      </c>
      <c r="E78" s="77" t="str">
        <f>'[3]Plan Tron'!E18</f>
        <v>M³</v>
      </c>
      <c r="F78" s="21">
        <v>13.71</v>
      </c>
      <c r="G78" s="9">
        <f>ROUND(74.28,2)</f>
        <v>74.28</v>
      </c>
      <c r="H78" s="9">
        <f>'[3]Plan Tron'!F18</f>
        <v>88.38</v>
      </c>
      <c r="I78" s="9">
        <v>26.44</v>
      </c>
      <c r="J78" s="9">
        <f>ROUND(H78*(I78/100+1),2)</f>
        <v>111.75</v>
      </c>
      <c r="K78" s="383">
        <v>0</v>
      </c>
      <c r="L78" s="474">
        <f>F78-K78</f>
        <v>13.71</v>
      </c>
      <c r="M78" s="471">
        <f t="shared" ref="M78:M131" si="4">ROUND(L78*J78,2)</f>
        <v>1532.09</v>
      </c>
      <c r="N78" s="405"/>
      <c r="O78" s="541"/>
      <c r="P78" s="405"/>
      <c r="Q78" s="405"/>
      <c r="S78" s="344" t="str">
        <f t="shared" si="3"/>
        <v xml:space="preserve">FORNECIMENTO E LANCAMENTO DE BRITA N. 4 </v>
      </c>
    </row>
    <row r="79" spans="1:19" s="414" customFormat="1">
      <c r="A79" s="410" t="s">
        <v>106</v>
      </c>
      <c r="B79" s="425"/>
      <c r="C79" s="410"/>
      <c r="D79" s="420" t="s">
        <v>2057</v>
      </c>
      <c r="E79" s="424"/>
      <c r="F79" s="422"/>
      <c r="G79" s="412"/>
      <c r="H79" s="412"/>
      <c r="I79" s="412"/>
      <c r="J79" s="412"/>
      <c r="K79" s="498"/>
      <c r="L79" s="474"/>
      <c r="M79" s="471"/>
      <c r="N79" s="405"/>
      <c r="O79" s="541"/>
      <c r="P79" s="419"/>
      <c r="Q79" s="419"/>
      <c r="S79" s="414" t="str">
        <f t="shared" si="3"/>
        <v>PAVIMENTAÇÃO COM PEDRISCO S/COMPACTAÇÃO E=5,0CM.</v>
      </c>
    </row>
    <row r="80" spans="1:19" s="601" customFormat="1">
      <c r="A80" s="49" t="s">
        <v>105</v>
      </c>
      <c r="B80" s="49">
        <f>'[3]Plan Tron'!B19</f>
        <v>540203</v>
      </c>
      <c r="C80" s="49" t="str">
        <f>'[3]Plan Tron'!C19</f>
        <v>CPOS</v>
      </c>
      <c r="D80" s="35" t="str">
        <f>UPPER('[3]Plan Tron'!D19)</f>
        <v xml:space="preserve">REVESTIMENTO PRIMARIO COM PEDRA BRITADA, COMPACTAÇÃO MINIMA DE 95% DO PN. </v>
      </c>
      <c r="E80" s="77" t="str">
        <f>'[3]Plan Tron'!E19</f>
        <v>M³</v>
      </c>
      <c r="F80" s="30">
        <f>3051.63*0.05</f>
        <v>152.58150000000001</v>
      </c>
      <c r="G80" s="9">
        <f>ROUND(4.64,2)</f>
        <v>4.6399999999999997</v>
      </c>
      <c r="H80" s="9">
        <f>'[3]Plan Tron'!F19</f>
        <v>65.45</v>
      </c>
      <c r="I80" s="9">
        <v>26.44</v>
      </c>
      <c r="J80" s="9">
        <f>ROUND(H80*(I80/100+1),2)</f>
        <v>82.75</v>
      </c>
      <c r="K80" s="383">
        <v>152.58000000000001</v>
      </c>
      <c r="L80" s="474">
        <f>F80-K80</f>
        <v>1.4999999999929514E-3</v>
      </c>
      <c r="M80" s="471"/>
      <c r="N80" s="599"/>
      <c r="O80" s="600"/>
      <c r="P80" s="599"/>
      <c r="Q80" s="599"/>
      <c r="S80" s="601" t="str">
        <f t="shared" si="3"/>
        <v xml:space="preserve">REVESTIMENTO PRIMARIO COM PEDRA BRITADA, COMPACTAÇÃO MINIMA DE 95% DO PN. </v>
      </c>
    </row>
    <row r="81" spans="1:19" s="414" customFormat="1">
      <c r="A81" s="410" t="s">
        <v>104</v>
      </c>
      <c r="B81" s="646"/>
      <c r="C81" s="410"/>
      <c r="D81" s="694" t="s">
        <v>2058</v>
      </c>
      <c r="E81" s="648"/>
      <c r="F81" s="649"/>
      <c r="G81" s="412"/>
      <c r="H81" s="412"/>
      <c r="I81" s="412"/>
      <c r="J81" s="412"/>
      <c r="K81" s="498"/>
      <c r="L81" s="474"/>
      <c r="M81" s="471"/>
      <c r="N81" s="405"/>
      <c r="O81" s="541"/>
      <c r="P81" s="419"/>
      <c r="Q81" s="419"/>
      <c r="S81" s="414" t="str">
        <f t="shared" si="3"/>
        <v>FORMAS / CIMBRAMENTOS / ESCORAMENTOS</v>
      </c>
    </row>
    <row r="82" spans="1:19" s="344" customFormat="1">
      <c r="A82" s="49" t="s">
        <v>103</v>
      </c>
      <c r="B82" s="49">
        <f>'[3]Plan Tron'!B20</f>
        <v>5651</v>
      </c>
      <c r="C82" s="49" t="str">
        <f>'[3]Plan Tron'!C20</f>
        <v>SINAPI</v>
      </c>
      <c r="D82" s="31" t="str">
        <f>'[3]Plan Tron'!D20</f>
        <v>FORMA DE MADEIRA COMUM PARA FUNDAÇÕES - REAPROVEITAMENTO 5X.</v>
      </c>
      <c r="E82" s="675" t="str">
        <f>'[3]Plan Tron'!E20</f>
        <v>M²</v>
      </c>
      <c r="F82" s="21">
        <v>206.48</v>
      </c>
      <c r="G82" s="9">
        <f>ROUND(22.96,2)</f>
        <v>22.96</v>
      </c>
      <c r="H82" s="9">
        <f>'[3]Plan Tron'!F20</f>
        <v>29.01</v>
      </c>
      <c r="I82" s="9">
        <v>26.44</v>
      </c>
      <c r="J82" s="9">
        <f>ROUND(H82*(I82/100+1),2)</f>
        <v>36.68</v>
      </c>
      <c r="K82" s="383">
        <v>0</v>
      </c>
      <c r="L82" s="474">
        <f>F82-K82</f>
        <v>206.48</v>
      </c>
      <c r="M82" s="471">
        <f t="shared" si="4"/>
        <v>7573.69</v>
      </c>
      <c r="N82" s="405"/>
      <c r="O82" s="541"/>
      <c r="P82" s="405"/>
      <c r="Q82" s="405"/>
      <c r="S82" s="344" t="str">
        <f t="shared" si="3"/>
        <v>FORMA DE MADEIRA COMUM PARA FUNDAÇÕES - REAPROVEITAMENTO 5X.</v>
      </c>
    </row>
    <row r="83" spans="1:19" s="414" customFormat="1">
      <c r="A83" s="410" t="s">
        <v>102</v>
      </c>
      <c r="B83" s="425"/>
      <c r="C83" s="410"/>
      <c r="D83" s="420" t="s">
        <v>2059</v>
      </c>
      <c r="E83" s="421"/>
      <c r="F83" s="423"/>
      <c r="G83" s="412"/>
      <c r="H83" s="412"/>
      <c r="I83" s="412"/>
      <c r="J83" s="412"/>
      <c r="K83" s="498"/>
      <c r="L83" s="474"/>
      <c r="M83" s="471"/>
      <c r="N83" s="405"/>
      <c r="O83" s="541"/>
      <c r="P83" s="419"/>
      <c r="Q83" s="419"/>
      <c r="S83" s="414" t="str">
        <f t="shared" si="3"/>
        <v>ARMADURAS</v>
      </c>
    </row>
    <row r="84" spans="1:19" s="414" customFormat="1">
      <c r="A84" s="410" t="s">
        <v>101</v>
      </c>
      <c r="B84" s="425"/>
      <c r="C84" s="410"/>
      <c r="D84" s="420" t="s">
        <v>2060</v>
      </c>
      <c r="E84" s="421"/>
      <c r="F84" s="623"/>
      <c r="G84" s="412"/>
      <c r="H84" s="412"/>
      <c r="I84" s="412"/>
      <c r="J84" s="412"/>
      <c r="K84" s="498"/>
      <c r="L84" s="474"/>
      <c r="M84" s="471"/>
      <c r="N84" s="405"/>
      <c r="O84" s="541"/>
      <c r="P84" s="419"/>
      <c r="Q84" s="419"/>
      <c r="S84" s="414" t="str">
        <f t="shared" si="3"/>
        <v>ARMAÇÃO EM AÇO CA-50 PARA ESTRUTURAS DE CONCRETO.</v>
      </c>
    </row>
    <row r="85" spans="1:19" s="344" customFormat="1" ht="25.5" customHeight="1">
      <c r="A85" s="49" t="s">
        <v>100</v>
      </c>
      <c r="B85" s="49">
        <f>'[3]Plan Tron'!B21</f>
        <v>92761</v>
      </c>
      <c r="C85" s="49" t="str">
        <f>'[3]Plan Tron'!C21</f>
        <v>SINAPI</v>
      </c>
      <c r="D85" s="35" t="str">
        <f>'[3]Plan Tron'!D21</f>
        <v>ARMAÇÃO DE PILAR OU VIGA DE UMA ESTRUTURA CONVENCIONAL DE CONCRETO ARMADO EM UM EDIFÍCIO DE MÚLTIPLOS PAVIMENTOS UTILIZANDO AÇO CA-50 DE 8.0MM - MONTAGEM. AF_12/2015</v>
      </c>
      <c r="E85" s="672" t="str">
        <f>'[3]Plan Tron'!E21</f>
        <v>KG</v>
      </c>
      <c r="F85" s="21">
        <v>3669.2</v>
      </c>
      <c r="G85" s="9">
        <v>5.9</v>
      </c>
      <c r="H85" s="9">
        <f>'[3]Plan Tron'!F21</f>
        <v>9.44</v>
      </c>
      <c r="I85" s="9">
        <v>26.44</v>
      </c>
      <c r="J85" s="9">
        <f>ROUND(H85*(I85/100+1),2)</f>
        <v>11.94</v>
      </c>
      <c r="K85" s="383">
        <v>0</v>
      </c>
      <c r="L85" s="474">
        <f>F85-K85</f>
        <v>3669.2</v>
      </c>
      <c r="M85" s="471">
        <f t="shared" si="4"/>
        <v>43810.25</v>
      </c>
      <c r="N85" s="405"/>
      <c r="O85" s="541"/>
      <c r="P85" s="405"/>
      <c r="Q85" s="405"/>
      <c r="S85" s="344" t="str">
        <f t="shared" si="3"/>
        <v>ARMAÇÃO DE PILAR OU VIGA DE UMA ESTRUTURA CONVENCIONAL DE CONCRETO ARMADO EM UM EDIFÍCIO DE MÚLTIPLOS PAVIMENTOS UTILIZANDO AÇO CA-50 DE 8.0MM - MONTAGEM. AF_12/2015</v>
      </c>
    </row>
    <row r="86" spans="1:19" s="414" customFormat="1">
      <c r="A86" s="410" t="s">
        <v>98</v>
      </c>
      <c r="B86" s="646"/>
      <c r="C86" s="410"/>
      <c r="D86" s="694" t="s">
        <v>2061</v>
      </c>
      <c r="E86" s="648"/>
      <c r="F86" s="649"/>
      <c r="G86" s="412"/>
      <c r="H86" s="412"/>
      <c r="I86" s="412"/>
      <c r="J86" s="412"/>
      <c r="K86" s="498"/>
      <c r="L86" s="474"/>
      <c r="M86" s="471"/>
      <c r="N86" s="405"/>
      <c r="O86" s="541"/>
      <c r="P86" s="419"/>
      <c r="Q86" s="419"/>
      <c r="S86" s="414" t="str">
        <f t="shared" si="3"/>
        <v>CONCRETOS</v>
      </c>
    </row>
    <row r="87" spans="1:19" s="344" customFormat="1">
      <c r="A87" s="49" t="s">
        <v>97</v>
      </c>
      <c r="B87" s="49">
        <f>'[3]Plan Tron'!B24</f>
        <v>110406</v>
      </c>
      <c r="C87" s="49" t="str">
        <f>'[3]Plan Tron'!C24</f>
        <v>CPOS</v>
      </c>
      <c r="D87" s="35" t="str">
        <f>'[3]Plan Tron'!D24</f>
        <v xml:space="preserve">CONCRETO NÃO ESTRUTURAL EXECUTADO NO LOCAL, MINIMO 300KG CIMENTO/M³ </v>
      </c>
      <c r="E87" s="675" t="str">
        <f>'[3]Plan Tron'!E24</f>
        <v>M³</v>
      </c>
      <c r="F87" s="21">
        <v>13.71</v>
      </c>
      <c r="G87" s="9">
        <f>ROUND(238.25,2)</f>
        <v>238.25</v>
      </c>
      <c r="H87" s="9">
        <f>'[3]Plan Tron'!F24</f>
        <v>279.64</v>
      </c>
      <c r="I87" s="9">
        <v>26.44</v>
      </c>
      <c r="J87" s="9">
        <f>ROUND(H87*(I87/100+1),2)</f>
        <v>353.58</v>
      </c>
      <c r="K87" s="383">
        <v>0</v>
      </c>
      <c r="L87" s="474">
        <f>F87-K87</f>
        <v>13.71</v>
      </c>
      <c r="M87" s="471">
        <f t="shared" si="4"/>
        <v>4847.58</v>
      </c>
      <c r="N87" s="405"/>
      <c r="O87" s="541"/>
      <c r="P87" s="405"/>
      <c r="Q87" s="405"/>
      <c r="S87" s="344" t="str">
        <f t="shared" si="3"/>
        <v xml:space="preserve">CONCRETO NÃO ESTRUTURAL EXECUTADO NO LOCAL, MINIMO 300KG CIMENTO/M³ </v>
      </c>
    </row>
    <row r="88" spans="1:19" s="414" customFormat="1">
      <c r="A88" s="410" t="s">
        <v>96</v>
      </c>
      <c r="B88" s="425"/>
      <c r="C88" s="410"/>
      <c r="D88" s="420" t="s">
        <v>2062</v>
      </c>
      <c r="E88" s="421"/>
      <c r="F88" s="623"/>
      <c r="G88" s="412"/>
      <c r="H88" s="412"/>
      <c r="I88" s="412"/>
      <c r="J88" s="412"/>
      <c r="K88" s="498"/>
      <c r="L88" s="476"/>
      <c r="M88" s="471"/>
      <c r="N88" s="419"/>
      <c r="O88" s="620"/>
      <c r="P88" s="419"/>
      <c r="Q88" s="419"/>
      <c r="S88" s="414" t="str">
        <f t="shared" si="3"/>
        <v>CONCRETO BOMBEADO</v>
      </c>
    </row>
    <row r="89" spans="1:19" s="344" customFormat="1">
      <c r="A89" s="49" t="s">
        <v>95</v>
      </c>
      <c r="B89" s="49">
        <f>'[3]Plan Tron'!B27</f>
        <v>110132</v>
      </c>
      <c r="C89" s="49" t="str">
        <f>'[3]Plan Tron'!C27</f>
        <v>CPOS</v>
      </c>
      <c r="D89" s="35" t="str">
        <f>'[3]Plan Tron'!D27</f>
        <v xml:space="preserve">CONCRETO USINADO, FCK=30MPa - PARA BOMBEAMENTO </v>
      </c>
      <c r="E89" s="672" t="str">
        <f>'[3]Plan Tron'!E27</f>
        <v>M³</v>
      </c>
      <c r="F89" s="21">
        <v>36.69</v>
      </c>
      <c r="G89" s="9">
        <f>ROUND(336.65,2)</f>
        <v>336.65</v>
      </c>
      <c r="H89" s="9">
        <f>'[3]Plan Tron'!F27</f>
        <v>311.94</v>
      </c>
      <c r="I89" s="9">
        <v>26.44</v>
      </c>
      <c r="J89" s="9">
        <f>ROUND(H89*(I89/100+1),2)</f>
        <v>394.42</v>
      </c>
      <c r="K89" s="383">
        <v>0</v>
      </c>
      <c r="L89" s="474">
        <f>F89-K89</f>
        <v>36.69</v>
      </c>
      <c r="M89" s="471">
        <f t="shared" si="4"/>
        <v>14471.27</v>
      </c>
      <c r="N89" s="405"/>
      <c r="O89" s="541"/>
      <c r="P89" s="405"/>
      <c r="Q89" s="405"/>
      <c r="S89" s="344" t="str">
        <f t="shared" si="3"/>
        <v xml:space="preserve">CONCRETO USINADO, FCK=30MPA - PARA BOMBEAMENTO </v>
      </c>
    </row>
    <row r="90" spans="1:19" s="414" customFormat="1" ht="25.5">
      <c r="A90" s="410" t="s">
        <v>94</v>
      </c>
      <c r="B90" s="425"/>
      <c r="C90" s="410"/>
      <c r="D90" s="426" t="s">
        <v>2063</v>
      </c>
      <c r="E90" s="421"/>
      <c r="F90" s="623"/>
      <c r="G90" s="412"/>
      <c r="H90" s="412"/>
      <c r="I90" s="412"/>
      <c r="J90" s="412"/>
      <c r="K90" s="498"/>
      <c r="L90" s="474"/>
      <c r="M90" s="471"/>
      <c r="N90" s="405"/>
      <c r="O90" s="541"/>
      <c r="P90" s="419"/>
      <c r="Q90" s="419"/>
      <c r="S90" s="414" t="str">
        <f t="shared" si="3"/>
        <v>CONCRETOS - INCLUI FORNECIMENTO, LANÇAMENTO NAS FORMAS, ADENSAMENTO, DESEMPENO E PREPARO DAS JUNTAS DE CONCRETAGEM.</v>
      </c>
    </row>
    <row r="91" spans="1:19" s="344" customFormat="1">
      <c r="A91" s="49" t="s">
        <v>93</v>
      </c>
      <c r="B91" s="49">
        <f>'[3]Plan Tron'!B28</f>
        <v>89995</v>
      </c>
      <c r="C91" s="49" t="str">
        <f>'[3]Plan Tron'!C28</f>
        <v>SINAPI</v>
      </c>
      <c r="D91" s="63" t="str">
        <f>'[3]Plan Tron'!D28</f>
        <v>GRAUTEAMENTO DE CINTA SUPERIOR OU DE VERGA EM ALVENARIA ESTRUTURAL. AF_01/2015</v>
      </c>
      <c r="E91" s="672" t="str">
        <f>'[3]Plan Tron'!E28</f>
        <v>M³</v>
      </c>
      <c r="F91" s="21">
        <v>30.46</v>
      </c>
      <c r="G91" s="9">
        <f>ROUND(371.86,2)</f>
        <v>371.86</v>
      </c>
      <c r="H91" s="9">
        <f>'[3]Plan Tron'!F28</f>
        <v>553.45000000000005</v>
      </c>
      <c r="I91" s="9">
        <v>26.44</v>
      </c>
      <c r="J91" s="9">
        <f>ROUND(H91*(I91/100+1),2)</f>
        <v>699.78</v>
      </c>
      <c r="K91" s="383">
        <v>0</v>
      </c>
      <c r="L91" s="474">
        <f>F91-K91</f>
        <v>30.46</v>
      </c>
      <c r="M91" s="471">
        <f t="shared" si="4"/>
        <v>21315.3</v>
      </c>
      <c r="N91" s="405"/>
      <c r="O91" s="541"/>
      <c r="P91" s="405"/>
      <c r="Q91" s="405"/>
      <c r="S91" s="344" t="str">
        <f t="shared" si="3"/>
        <v>GRAUTEAMENTO DE CINTA SUPERIOR OU DE VERGA EM ALVENARIA ESTRUTURAL. AF_01/2015</v>
      </c>
    </row>
    <row r="92" spans="1:19" s="344" customFormat="1" hidden="1">
      <c r="A92" s="49" t="s">
        <v>91</v>
      </c>
      <c r="B92" s="28">
        <f>'[3]Plan Tron'!B29</f>
        <v>121201</v>
      </c>
      <c r="C92" s="49" t="str">
        <f>'[3]Plan Tron'!C29</f>
        <v>CPOS</v>
      </c>
      <c r="D92" s="35" t="str">
        <f>'[3]Plan Tron'!D29</f>
        <v>TAXA DE MOBILIZAÇÃO PARA ESTACA TIPO HÉLICE CONTINUA EM SOLO</v>
      </c>
      <c r="E92" s="672" t="str">
        <f>'[3]Plan Tron'!E29</f>
        <v>TX</v>
      </c>
      <c r="F92" s="21">
        <v>1</v>
      </c>
      <c r="G92" s="9">
        <v>16000</v>
      </c>
      <c r="H92" s="9">
        <f>'[3]Plan Tron'!F29</f>
        <v>25921.26</v>
      </c>
      <c r="I92" s="9">
        <v>26.44</v>
      </c>
      <c r="J92" s="9">
        <f>ROUND(H92*(I92/100+1),2)</f>
        <v>32774.839999999997</v>
      </c>
      <c r="K92" s="383">
        <v>1</v>
      </c>
      <c r="L92" s="474">
        <f>F92-K92</f>
        <v>0</v>
      </c>
      <c r="M92" s="471">
        <f t="shared" si="4"/>
        <v>0</v>
      </c>
      <c r="N92" s="405"/>
      <c r="O92" s="541"/>
      <c r="P92" s="405"/>
      <c r="Q92" s="405"/>
      <c r="S92" s="344" t="str">
        <f t="shared" si="3"/>
        <v>TAXA DE MOBILIZAÇÃO PARA ESTACA TIPO HÉLICE CONTINUA EM SOLO</v>
      </c>
    </row>
    <row r="93" spans="1:19" s="344" customFormat="1">
      <c r="A93" s="49"/>
      <c r="B93" s="17"/>
      <c r="C93" s="49"/>
      <c r="D93" s="451"/>
      <c r="E93" s="7"/>
      <c r="F93" s="10"/>
      <c r="G93" s="27"/>
      <c r="H93" s="27"/>
      <c r="I93" s="9"/>
      <c r="J93" s="9"/>
      <c r="K93" s="451"/>
      <c r="L93" s="474"/>
      <c r="M93" s="471"/>
      <c r="N93" s="405"/>
      <c r="O93" s="541"/>
      <c r="P93" s="405"/>
      <c r="Q93" s="405"/>
    </row>
    <row r="94" spans="1:19" s="344" customFormat="1">
      <c r="A94" s="49"/>
      <c r="B94" s="17"/>
      <c r="C94" s="49"/>
      <c r="D94" s="52" t="s">
        <v>76</v>
      </c>
      <c r="E94" s="7"/>
      <c r="F94" s="10"/>
      <c r="G94" s="27"/>
      <c r="H94" s="27"/>
      <c r="I94" s="9"/>
      <c r="J94" s="9"/>
      <c r="K94" s="383"/>
      <c r="L94" s="474"/>
      <c r="M94" s="471"/>
      <c r="N94" s="405"/>
      <c r="O94" s="541"/>
      <c r="P94" s="405"/>
      <c r="Q94" s="405"/>
      <c r="S94" s="344" t="str">
        <f t="shared" si="3"/>
        <v/>
      </c>
    </row>
    <row r="95" spans="1:19" s="344" customFormat="1">
      <c r="A95" s="45">
        <v>8</v>
      </c>
      <c r="B95" s="17"/>
      <c r="C95" s="45"/>
      <c r="D95" s="52" t="s">
        <v>2064</v>
      </c>
      <c r="E95" s="7"/>
      <c r="F95" s="10"/>
      <c r="G95" s="27"/>
      <c r="H95" s="27"/>
      <c r="I95" s="9"/>
      <c r="J95" s="9"/>
      <c r="K95" s="383"/>
      <c r="L95" s="474"/>
      <c r="M95" s="471"/>
      <c r="N95" s="405"/>
      <c r="O95" s="541"/>
      <c r="P95" s="405"/>
      <c r="Q95" s="405"/>
      <c r="S95" s="344" t="str">
        <f t="shared" si="3"/>
        <v>PAVIMENTAÇÃO</v>
      </c>
    </row>
    <row r="96" spans="1:19" s="414" customFormat="1">
      <c r="A96" s="410" t="s">
        <v>90</v>
      </c>
      <c r="B96" s="425"/>
      <c r="C96" s="410"/>
      <c r="D96" s="420" t="s">
        <v>2065</v>
      </c>
      <c r="E96" s="421"/>
      <c r="F96" s="422"/>
      <c r="G96" s="423"/>
      <c r="H96" s="423"/>
      <c r="I96" s="412"/>
      <c r="J96" s="412"/>
      <c r="K96" s="498"/>
      <c r="L96" s="474"/>
      <c r="M96" s="471"/>
      <c r="N96" s="405"/>
      <c r="O96" s="541"/>
      <c r="P96" s="419"/>
      <c r="Q96" s="419"/>
      <c r="S96" s="414" t="str">
        <f t="shared" si="3"/>
        <v>EXECUÇÃO DE PAVIMENTAÇÕES DIVERSAS</v>
      </c>
    </row>
    <row r="97" spans="1:19" s="414" customFormat="1">
      <c r="A97" s="410" t="s">
        <v>89</v>
      </c>
      <c r="B97" s="411"/>
      <c r="C97" s="410"/>
      <c r="D97" s="690" t="s">
        <v>2066</v>
      </c>
      <c r="E97" s="617"/>
      <c r="F97" s="422"/>
      <c r="G97" s="412"/>
      <c r="H97" s="412"/>
      <c r="I97" s="412"/>
      <c r="J97" s="412"/>
      <c r="K97" s="498"/>
      <c r="L97" s="474"/>
      <c r="M97" s="471"/>
      <c r="N97" s="405"/>
      <c r="O97" s="541"/>
      <c r="P97" s="419"/>
      <c r="Q97" s="419"/>
      <c r="S97" s="414" t="str">
        <f t="shared" si="3"/>
        <v>PAVIMENTAÇÃO DE LAJOTAS DE CONCRETO INTERTRAVADAS</v>
      </c>
    </row>
    <row r="98" spans="1:19" s="344" customFormat="1" ht="25.5">
      <c r="A98" s="49" t="s">
        <v>88</v>
      </c>
      <c r="B98" s="49">
        <f>'[3]Plan Tron'!B30</f>
        <v>92393</v>
      </c>
      <c r="C98" s="49" t="str">
        <f>'[3]Plan Tron'!C30</f>
        <v>SINAPI</v>
      </c>
      <c r="D98" s="15" t="str">
        <f>'[3]Plan Tron'!D30</f>
        <v>EXECUÇÃO DE PAVIMENTO EM PISO INTERTRAVADO, COM BLOCO SEXTAVADO DE 25X 25 CM, ESPESSURA 6 CM. AF_12/2015</v>
      </c>
      <c r="E98" s="77" t="str">
        <f>'[3]Plan Tron'!E30</f>
        <v>M²</v>
      </c>
      <c r="F98" s="21">
        <v>3051.63</v>
      </c>
      <c r="G98" s="27">
        <f>ROUND(42.76,2)</f>
        <v>42.76</v>
      </c>
      <c r="H98" s="27">
        <f>'[3]Plan Tron'!F30</f>
        <v>47.68</v>
      </c>
      <c r="I98" s="9">
        <v>26.44</v>
      </c>
      <c r="J98" s="9">
        <f>ROUND(H98*(I98/100+1),2)</f>
        <v>60.29</v>
      </c>
      <c r="K98" s="383">
        <v>0</v>
      </c>
      <c r="L98" s="474">
        <f>F98-K98</f>
        <v>3051.63</v>
      </c>
      <c r="M98" s="471">
        <f t="shared" si="4"/>
        <v>183982.77</v>
      </c>
      <c r="N98" s="405"/>
      <c r="O98" s="541"/>
      <c r="P98" s="405"/>
      <c r="Q98" s="405"/>
      <c r="S98" s="344" t="str">
        <f t="shared" si="3"/>
        <v>EXECUÇÃO DE PAVIMENTO EM PISO INTERTRAVADO, COM BLOCO SEXTAVADO DE 25X 25 CM, ESPESSURA 6 CM. AF_12/2015</v>
      </c>
    </row>
    <row r="99" spans="1:19" s="344" customFormat="1">
      <c r="A99" s="49"/>
      <c r="B99" s="17"/>
      <c r="C99" s="49"/>
      <c r="D99" s="451"/>
      <c r="E99" s="7"/>
      <c r="F99" s="10"/>
      <c r="G99" s="9"/>
      <c r="H99" s="9"/>
      <c r="I99" s="9"/>
      <c r="J99" s="9"/>
      <c r="K99" s="451"/>
      <c r="L99" s="474"/>
      <c r="M99" s="471"/>
      <c r="N99" s="405"/>
      <c r="O99" s="541"/>
      <c r="P99" s="405"/>
      <c r="Q99" s="405"/>
    </row>
    <row r="100" spans="1:19" s="344" customFormat="1">
      <c r="A100" s="49"/>
      <c r="B100" s="17"/>
      <c r="C100" s="49"/>
      <c r="D100" s="52" t="s">
        <v>76</v>
      </c>
      <c r="E100" s="7"/>
      <c r="F100" s="10"/>
      <c r="G100" s="27"/>
      <c r="H100" s="27"/>
      <c r="I100" s="9"/>
      <c r="J100" s="9"/>
      <c r="K100" s="383"/>
      <c r="L100" s="474"/>
      <c r="M100" s="471"/>
      <c r="N100" s="405"/>
      <c r="O100" s="541"/>
      <c r="P100" s="405"/>
      <c r="Q100" s="405"/>
      <c r="S100" s="344" t="str">
        <f t="shared" si="3"/>
        <v/>
      </c>
    </row>
    <row r="101" spans="1:19" s="344" customFormat="1">
      <c r="A101" s="45">
        <v>9</v>
      </c>
      <c r="B101" s="17"/>
      <c r="C101" s="45"/>
      <c r="D101" s="52" t="s">
        <v>2067</v>
      </c>
      <c r="E101" s="7"/>
      <c r="F101" s="10"/>
      <c r="G101" s="27"/>
      <c r="H101" s="27"/>
      <c r="I101" s="9"/>
      <c r="J101" s="9"/>
      <c r="K101" s="383"/>
      <c r="L101" s="474"/>
      <c r="M101" s="471"/>
      <c r="N101" s="405"/>
      <c r="O101" s="541"/>
      <c r="P101" s="405"/>
      <c r="Q101" s="405"/>
      <c r="S101" s="344" t="str">
        <f t="shared" si="3"/>
        <v>PAREDES / PAINÉIS</v>
      </c>
    </row>
    <row r="102" spans="1:19" s="414" customFormat="1">
      <c r="A102" s="410" t="s">
        <v>87</v>
      </c>
      <c r="B102" s="411"/>
      <c r="C102" s="410"/>
      <c r="D102" s="690" t="s">
        <v>2068</v>
      </c>
      <c r="E102" s="617"/>
      <c r="F102" s="413"/>
      <c r="G102" s="619"/>
      <c r="H102" s="619"/>
      <c r="I102" s="412"/>
      <c r="J102" s="412"/>
      <c r="K102" s="498"/>
      <c r="L102" s="474"/>
      <c r="M102" s="471"/>
      <c r="N102" s="405"/>
      <c r="O102" s="541"/>
      <c r="P102" s="419"/>
      <c r="Q102" s="419"/>
      <c r="S102" s="414" t="str">
        <f t="shared" si="3"/>
        <v>ALVENARIA DE BLOCOS DE CONCRETO</v>
      </c>
    </row>
    <row r="103" spans="1:19" s="414" customFormat="1">
      <c r="A103" s="410" t="s">
        <v>86</v>
      </c>
      <c r="B103" s="411"/>
      <c r="C103" s="410"/>
      <c r="D103" s="690" t="s">
        <v>2069</v>
      </c>
      <c r="E103" s="617"/>
      <c r="F103" s="413"/>
      <c r="G103" s="619"/>
      <c r="H103" s="619"/>
      <c r="I103" s="412"/>
      <c r="J103" s="412"/>
      <c r="K103" s="498"/>
      <c r="L103" s="474"/>
      <c r="M103" s="471"/>
      <c r="N103" s="405"/>
      <c r="O103" s="541"/>
      <c r="P103" s="419"/>
      <c r="Q103" s="419"/>
      <c r="S103" s="414" t="str">
        <f t="shared" si="3"/>
        <v>ALVENARIA DE BLOCO DE CONCRETO</v>
      </c>
    </row>
    <row r="104" spans="1:19" s="344" customFormat="1" ht="25.5">
      <c r="A104" s="49" t="s">
        <v>85</v>
      </c>
      <c r="B104" s="49">
        <f>'[3]Plan Tron'!B31</f>
        <v>89456</v>
      </c>
      <c r="C104" s="49" t="str">
        <f>'[3]Plan Tron'!C31</f>
        <v>SINAPI</v>
      </c>
      <c r="D104" s="15" t="str">
        <f>'[3]Plan Tron'!D31</f>
        <v>ALVENARIA DE BLOCOS DE CONCRETO ESTRUTURAL 14X19X39 CM, (ESPESSURA 14 CM) FBK = 14,0 MPA, PARA PAREDES COM ÁREA LÍQUIDA MAIOR OU IGUAL A 6M², SEM VÃOS, UTILIZANDO PALHETA. AF_12/2014</v>
      </c>
      <c r="E104" s="77" t="str">
        <f>'[3]Plan Tron'!E31</f>
        <v>M²</v>
      </c>
      <c r="F104" s="10">
        <v>403.87</v>
      </c>
      <c r="G104" s="9">
        <f>ROUND(54.83,2)</f>
        <v>54.83</v>
      </c>
      <c r="H104" s="9">
        <f>'[3]Plan Tron'!F31</f>
        <v>60.61</v>
      </c>
      <c r="I104" s="9">
        <v>26.44</v>
      </c>
      <c r="J104" s="9">
        <f>ROUND(H104*(I104/100+1),2)</f>
        <v>76.64</v>
      </c>
      <c r="K104" s="383">
        <v>0</v>
      </c>
      <c r="L104" s="474">
        <f>F104-K104</f>
        <v>403.87</v>
      </c>
      <c r="M104" s="471">
        <f t="shared" si="4"/>
        <v>30952.6</v>
      </c>
      <c r="N104" s="405"/>
      <c r="O104" s="541"/>
      <c r="P104" s="405"/>
      <c r="Q104" s="405"/>
      <c r="S104" s="344" t="str">
        <f t="shared" si="3"/>
        <v>ALVENARIA DE BLOCOS DE CONCRETO ESTRUTURAL 14X19X39 CM, (ESPESSURA 14 CM) FBK = 14,0 MPA, PARA PAREDES COM ÁREA LÍQUIDA MAIOR OU IGUAL A 6M², SEM VÃOS, UTILIZANDO PALHETA. AF_12/2014</v>
      </c>
    </row>
    <row r="105" spans="1:19" s="344" customFormat="1">
      <c r="A105" s="49"/>
      <c r="B105" s="17"/>
      <c r="C105" s="49"/>
      <c r="D105" s="451"/>
      <c r="E105" s="7"/>
      <c r="F105" s="10"/>
      <c r="G105" s="9"/>
      <c r="H105" s="9"/>
      <c r="I105" s="9"/>
      <c r="J105" s="9"/>
      <c r="K105" s="451"/>
      <c r="L105" s="474"/>
      <c r="M105" s="471"/>
      <c r="N105" s="405"/>
      <c r="O105" s="541"/>
      <c r="P105" s="405"/>
      <c r="Q105" s="405"/>
    </row>
    <row r="106" spans="1:19" s="344" customFormat="1">
      <c r="A106" s="49"/>
      <c r="B106" s="17"/>
      <c r="C106" s="49"/>
      <c r="D106" s="52" t="s">
        <v>76</v>
      </c>
      <c r="E106" s="7"/>
      <c r="F106" s="10"/>
      <c r="G106" s="27"/>
      <c r="H106" s="27"/>
      <c r="I106" s="9"/>
      <c r="J106" s="9"/>
      <c r="K106" s="383"/>
      <c r="L106" s="474"/>
      <c r="M106" s="471"/>
      <c r="N106" s="405"/>
      <c r="O106" s="541"/>
      <c r="P106" s="405"/>
      <c r="Q106" s="405"/>
      <c r="S106" s="344" t="str">
        <f t="shared" si="3"/>
        <v/>
      </c>
    </row>
    <row r="107" spans="1:19" s="344" customFormat="1">
      <c r="A107" s="45">
        <v>10</v>
      </c>
      <c r="B107" s="17"/>
      <c r="C107" s="45"/>
      <c r="D107" s="52" t="s">
        <v>2070</v>
      </c>
      <c r="E107" s="7"/>
      <c r="F107" s="10"/>
      <c r="G107" s="27"/>
      <c r="H107" s="27"/>
      <c r="I107" s="9"/>
      <c r="J107" s="9"/>
      <c r="K107" s="383"/>
      <c r="L107" s="474"/>
      <c r="M107" s="471"/>
      <c r="N107" s="405"/>
      <c r="O107" s="541"/>
      <c r="P107" s="405"/>
      <c r="Q107" s="405"/>
      <c r="S107" s="344" t="str">
        <f t="shared" si="3"/>
        <v>ESQUADRIAS / FERRAGENS / VIDROS</v>
      </c>
    </row>
    <row r="108" spans="1:19" s="414" customFormat="1">
      <c r="A108" s="410" t="s">
        <v>84</v>
      </c>
      <c r="B108" s="425"/>
      <c r="C108" s="410"/>
      <c r="D108" s="420" t="s">
        <v>2071</v>
      </c>
      <c r="E108" s="421"/>
      <c r="F108" s="623"/>
      <c r="G108" s="623"/>
      <c r="H108" s="623"/>
      <c r="I108" s="412"/>
      <c r="J108" s="412"/>
      <c r="K108" s="498"/>
      <c r="L108" s="474"/>
      <c r="M108" s="471"/>
      <c r="N108" s="405"/>
      <c r="O108" s="541"/>
      <c r="P108" s="419"/>
      <c r="Q108" s="419"/>
      <c r="S108" s="414" t="str">
        <f t="shared" si="3"/>
        <v>PORTÕES DE MADEIRA / FERRO / ALUMÍNIO</v>
      </c>
    </row>
    <row r="109" spans="1:19" s="414" customFormat="1">
      <c r="A109" s="410" t="s">
        <v>83</v>
      </c>
      <c r="B109" s="611"/>
      <c r="C109" s="410"/>
      <c r="D109" s="420" t="s">
        <v>2072</v>
      </c>
      <c r="E109" s="421"/>
      <c r="F109" s="623"/>
      <c r="G109" s="623"/>
      <c r="H109" s="623"/>
      <c r="I109" s="412"/>
      <c r="J109" s="412"/>
      <c r="K109" s="498"/>
      <c r="L109" s="474"/>
      <c r="M109" s="471"/>
      <c r="N109" s="405"/>
      <c r="O109" s="541"/>
      <c r="P109" s="419"/>
      <c r="Q109" s="419"/>
      <c r="S109" s="414" t="str">
        <f t="shared" si="3"/>
        <v>FABRICAÇÃO E INSTALAÇÃO DE PORTÃO PARA ENTRADA DE VEÍCULOS - MMA</v>
      </c>
    </row>
    <row r="110" spans="1:19" s="344" customFormat="1" ht="25.5">
      <c r="A110" s="49" t="s">
        <v>82</v>
      </c>
      <c r="B110" s="49" t="str">
        <f>'[3]Plan Tron'!B32</f>
        <v>74238/002</v>
      </c>
      <c r="C110" s="49" t="str">
        <f>'[3]Plan Tron'!C32</f>
        <v>SINAPI</v>
      </c>
      <c r="D110" s="614" t="str">
        <f>'[3]Plan Tron'!D32</f>
        <v>PORTAO EM TELA ARAME GALVANIZADO N.12 MALHA 2" E MOLDURA EM TUBOS DE ACO COM DUAS FOLHAS DE ABRIR, INCLUSO FERRAGENS</v>
      </c>
      <c r="E110" s="672" t="str">
        <f>'[3]Plan Tron'!E32</f>
        <v>M²</v>
      </c>
      <c r="F110" s="21">
        <v>12.5</v>
      </c>
      <c r="G110" s="19">
        <f>ROUND(656.11,2)</f>
        <v>656.11</v>
      </c>
      <c r="H110" s="19">
        <f>'[3]Plan Tron'!F32</f>
        <v>954.12</v>
      </c>
      <c r="I110" s="9">
        <v>26.44</v>
      </c>
      <c r="J110" s="9">
        <f>ROUND(H110*(I110/100+1),2)</f>
        <v>1206.3900000000001</v>
      </c>
      <c r="K110" s="474">
        <v>0</v>
      </c>
      <c r="L110" s="474">
        <f>F110-K110</f>
        <v>12.5</v>
      </c>
      <c r="M110" s="471">
        <f t="shared" si="4"/>
        <v>15079.88</v>
      </c>
      <c r="N110" s="405"/>
      <c r="O110" s="541"/>
      <c r="P110" s="405"/>
      <c r="Q110" s="405"/>
      <c r="S110" s="344" t="str">
        <f t="shared" si="3"/>
        <v>PORTAO EM TELA ARAME GALVANIZADO N.12 MALHA 2" E MOLDURA EM TUBOS DE ACO COM DUAS FOLHAS DE ABRIR, INCLUSO FERRAGENS</v>
      </c>
    </row>
    <row r="111" spans="1:19" s="344" customFormat="1">
      <c r="A111" s="49"/>
      <c r="B111" s="17"/>
      <c r="C111" s="49"/>
      <c r="D111" s="451"/>
      <c r="E111" s="7"/>
      <c r="F111" s="10"/>
      <c r="G111" s="9"/>
      <c r="H111" s="9"/>
      <c r="I111" s="9"/>
      <c r="J111" s="9"/>
      <c r="K111" s="451"/>
      <c r="L111" s="474"/>
      <c r="M111" s="471"/>
      <c r="N111" s="405"/>
      <c r="O111" s="541"/>
      <c r="P111" s="405"/>
      <c r="Q111" s="405"/>
      <c r="S111" s="344" t="str">
        <f t="shared" si="3"/>
        <v/>
      </c>
    </row>
    <row r="112" spans="1:19" s="344" customFormat="1">
      <c r="A112" s="49"/>
      <c r="B112" s="17"/>
      <c r="C112" s="49"/>
      <c r="D112" s="52" t="s">
        <v>76</v>
      </c>
      <c r="E112" s="7"/>
      <c r="F112" s="10"/>
      <c r="G112" s="9"/>
      <c r="H112" s="9"/>
      <c r="I112" s="9"/>
      <c r="J112" s="9"/>
      <c r="K112" s="383"/>
      <c r="L112" s="474"/>
      <c r="M112" s="471"/>
      <c r="N112" s="405"/>
      <c r="O112" s="541"/>
      <c r="P112" s="405"/>
      <c r="Q112" s="405"/>
      <c r="S112" s="344" t="str">
        <f t="shared" si="3"/>
        <v/>
      </c>
    </row>
    <row r="113" spans="1:19" s="344" customFormat="1">
      <c r="A113" s="45">
        <v>11</v>
      </c>
      <c r="B113" s="17"/>
      <c r="C113" s="45"/>
      <c r="D113" s="52" t="s">
        <v>2073</v>
      </c>
      <c r="E113" s="7"/>
      <c r="F113" s="10"/>
      <c r="G113" s="27"/>
      <c r="H113" s="27"/>
      <c r="I113" s="9"/>
      <c r="J113" s="9"/>
      <c r="K113" s="383"/>
      <c r="L113" s="474"/>
      <c r="M113" s="471"/>
      <c r="N113" s="405"/>
      <c r="O113" s="541"/>
      <c r="P113" s="405"/>
      <c r="Q113" s="405"/>
      <c r="S113" s="344" t="str">
        <f t="shared" si="3"/>
        <v>IMPERMEABILIZAÇÕES E PROTEÇÕES DIVERSAS</v>
      </c>
    </row>
    <row r="114" spans="1:19" s="414" customFormat="1">
      <c r="A114" s="410" t="s">
        <v>81</v>
      </c>
      <c r="B114" s="411"/>
      <c r="C114" s="410"/>
      <c r="D114" s="690" t="s">
        <v>2074</v>
      </c>
      <c r="E114" s="617"/>
      <c r="F114" s="422"/>
      <c r="G114" s="619"/>
      <c r="H114" s="619"/>
      <c r="I114" s="412"/>
      <c r="J114" s="412"/>
      <c r="K114" s="498"/>
      <c r="L114" s="474"/>
      <c r="M114" s="471"/>
      <c r="N114" s="405"/>
      <c r="O114" s="541"/>
      <c r="P114" s="419"/>
      <c r="Q114" s="419"/>
      <c r="S114" s="414" t="str">
        <f t="shared" si="3"/>
        <v>IMPERMEABILIZAÇÃO COM CIMENTO CRISTALIZADO</v>
      </c>
    </row>
    <row r="115" spans="1:19" s="414" customFormat="1" ht="25.5">
      <c r="A115" s="410" t="s">
        <v>80</v>
      </c>
      <c r="B115" s="411"/>
      <c r="C115" s="410"/>
      <c r="D115" s="690" t="s">
        <v>2075</v>
      </c>
      <c r="E115" s="617"/>
      <c r="F115" s="422"/>
      <c r="G115" s="619"/>
      <c r="H115" s="619"/>
      <c r="I115" s="412"/>
      <c r="J115" s="412"/>
      <c r="K115" s="498"/>
      <c r="L115" s="474"/>
      <c r="M115" s="471"/>
      <c r="N115" s="405"/>
      <c r="O115" s="541"/>
      <c r="P115" s="419"/>
      <c r="Q115" s="419"/>
      <c r="S115" s="414" t="str">
        <f t="shared" si="3"/>
        <v>CIMENTO ESPECIAL CRISTALIZANTE DENVERLIT C/ EMULSÃO ADESIVA DENVERFIX - DENVER - 1 DEMÃO P/ SUBSOLO / BALDRAMES / GALERIAS / JARDINEIRAS / ETC.</v>
      </c>
    </row>
    <row r="116" spans="1:19" s="344" customFormat="1">
      <c r="A116" s="49" t="s">
        <v>79</v>
      </c>
      <c r="B116" s="49" t="str">
        <f>'[3]Plan Tron'!B33</f>
        <v>73929/001</v>
      </c>
      <c r="C116" s="49" t="str">
        <f>'[3]Plan Tron'!C33</f>
        <v>SINAPI</v>
      </c>
      <c r="D116" s="691" t="str">
        <f>'[3]Plan Tron'!D33</f>
        <v>IMPERMEABILIZACAO DE SUPERFICIE COM CIMENTO ESPECIAL CRISTALIZANTE COM ADESIVO LIQUIDO, UMA DEMAO.</v>
      </c>
      <c r="E116" s="77" t="str">
        <f>'[3]Plan Tron'!E33</f>
        <v>M²</v>
      </c>
      <c r="F116" s="21">
        <v>590.84</v>
      </c>
      <c r="G116" s="9">
        <f>ROUND(18.33,2)</f>
        <v>18.329999999999998</v>
      </c>
      <c r="H116" s="9">
        <f>'[3]Plan Tron'!F33</f>
        <v>30.96</v>
      </c>
      <c r="I116" s="9">
        <v>26.44</v>
      </c>
      <c r="J116" s="9">
        <f>ROUND(H116*(I116/100+1),2)</f>
        <v>39.15</v>
      </c>
      <c r="K116" s="383">
        <v>0</v>
      </c>
      <c r="L116" s="474">
        <f>F116-K116</f>
        <v>590.84</v>
      </c>
      <c r="M116" s="471">
        <f t="shared" si="4"/>
        <v>23131.39</v>
      </c>
      <c r="N116" s="405"/>
      <c r="O116" s="541"/>
      <c r="P116" s="405"/>
      <c r="Q116" s="405"/>
      <c r="S116" s="344" t="str">
        <f t="shared" si="3"/>
        <v>IMPERMEABILIZACAO DE SUPERFICIE COM CIMENTO ESPECIAL CRISTALIZANTE COM ADESIVO LIQUIDO, UMA DEMAO.</v>
      </c>
    </row>
    <row r="117" spans="1:19" s="344" customFormat="1">
      <c r="A117" s="49"/>
      <c r="B117" s="17"/>
      <c r="C117" s="49"/>
      <c r="D117" s="451"/>
      <c r="E117" s="7"/>
      <c r="F117" s="10"/>
      <c r="G117" s="9"/>
      <c r="H117" s="9"/>
      <c r="I117" s="9"/>
      <c r="J117" s="9"/>
      <c r="K117" s="451"/>
      <c r="L117" s="474"/>
      <c r="M117" s="471"/>
      <c r="N117" s="405"/>
      <c r="O117" s="541"/>
      <c r="P117" s="405"/>
      <c r="Q117" s="405"/>
      <c r="S117" s="344" t="str">
        <f t="shared" si="3"/>
        <v/>
      </c>
    </row>
    <row r="118" spans="1:19" s="344" customFormat="1">
      <c r="A118" s="49"/>
      <c r="B118" s="17"/>
      <c r="C118" s="49"/>
      <c r="D118" s="52" t="s">
        <v>76</v>
      </c>
      <c r="E118" s="7"/>
      <c r="F118" s="10"/>
      <c r="G118" s="27"/>
      <c r="H118" s="27"/>
      <c r="I118" s="9"/>
      <c r="J118" s="9"/>
      <c r="K118" s="383"/>
      <c r="L118" s="474"/>
      <c r="M118" s="471"/>
      <c r="N118" s="405"/>
      <c r="O118" s="541"/>
      <c r="P118" s="405"/>
      <c r="Q118" s="405"/>
      <c r="S118" s="344" t="str">
        <f t="shared" si="3"/>
        <v/>
      </c>
    </row>
    <row r="119" spans="1:19" s="344" customFormat="1">
      <c r="A119" s="45">
        <v>12</v>
      </c>
      <c r="B119" s="17"/>
      <c r="C119" s="45"/>
      <c r="D119" s="52" t="s">
        <v>2076</v>
      </c>
      <c r="E119" s="7"/>
      <c r="F119" s="10"/>
      <c r="G119" s="27"/>
      <c r="H119" s="27"/>
      <c r="I119" s="9"/>
      <c r="J119" s="9"/>
      <c r="K119" s="383"/>
      <c r="L119" s="474"/>
      <c r="M119" s="471"/>
      <c r="N119" s="405"/>
      <c r="O119" s="541"/>
      <c r="P119" s="405"/>
      <c r="Q119" s="405"/>
      <c r="S119" s="344" t="str">
        <f t="shared" si="3"/>
        <v>PISOS</v>
      </c>
    </row>
    <row r="120" spans="1:19" s="723" customFormat="1">
      <c r="A120" s="749" t="s">
        <v>68</v>
      </c>
      <c r="B120" s="748"/>
      <c r="C120" s="749"/>
      <c r="D120" s="750" t="s">
        <v>2077</v>
      </c>
      <c r="E120" s="751"/>
      <c r="F120" s="764"/>
      <c r="G120" s="765"/>
      <c r="H120" s="765"/>
      <c r="I120" s="766"/>
      <c r="J120" s="766"/>
      <c r="K120" s="720"/>
      <c r="L120" s="474"/>
      <c r="M120" s="471"/>
      <c r="N120" s="405"/>
      <c r="O120" s="541"/>
      <c r="P120" s="721"/>
      <c r="Q120" s="721"/>
      <c r="S120" s="723" t="str">
        <f t="shared" si="3"/>
        <v>PISO DE CONCRETO</v>
      </c>
    </row>
    <row r="121" spans="1:19" s="723" customFormat="1">
      <c r="A121" s="749" t="s">
        <v>78</v>
      </c>
      <c r="B121" s="716"/>
      <c r="C121" s="749"/>
      <c r="D121" s="767" t="s">
        <v>2078</v>
      </c>
      <c r="E121" s="768"/>
      <c r="F121" s="764"/>
      <c r="G121" s="766"/>
      <c r="H121" s="766"/>
      <c r="I121" s="766"/>
      <c r="J121" s="766"/>
      <c r="K121" s="720"/>
      <c r="L121" s="474"/>
      <c r="M121" s="471"/>
      <c r="N121" s="405"/>
      <c r="O121" s="541"/>
      <c r="P121" s="721"/>
      <c r="Q121" s="721"/>
      <c r="S121" s="723" t="str">
        <f t="shared" si="3"/>
        <v>CALÇADA EM CONCRETO</v>
      </c>
    </row>
    <row r="122" spans="1:19" s="344" customFormat="1" ht="25.5">
      <c r="A122" s="49" t="s">
        <v>77</v>
      </c>
      <c r="B122" s="49">
        <f>'[3]Plan Tron'!B34</f>
        <v>94994</v>
      </c>
      <c r="C122" s="49" t="str">
        <f>'[3]Plan Tron'!C34</f>
        <v>SINAPI</v>
      </c>
      <c r="D122" s="15" t="str">
        <f>'[3]Plan Tron'!D34</f>
        <v>EXECUÇÃO DE PASSEIO (CALÇADA) OU PISO DE CONCRETO COM CONCRETO MOLDADO IN LOCO, FEITO EM OBRA, ACABAMENTO CONVENCIONAL, ESPESSURA 8 CM, ARMADO. AF_07/2016</v>
      </c>
      <c r="E122" s="77" t="str">
        <f>'[3]Plan Tron'!E34</f>
        <v>M²</v>
      </c>
      <c r="F122" s="21">
        <v>1899.19</v>
      </c>
      <c r="G122" s="27">
        <f>ROUND(29.51,2)</f>
        <v>29.51</v>
      </c>
      <c r="H122" s="27">
        <f>'[3]Plan Tron'!F34</f>
        <v>64.260000000000005</v>
      </c>
      <c r="I122" s="9">
        <v>26.44</v>
      </c>
      <c r="J122" s="9">
        <f>ROUND(H122*(I122/100+1),2)</f>
        <v>81.25</v>
      </c>
      <c r="K122" s="383">
        <v>0</v>
      </c>
      <c r="L122" s="474">
        <f>F122-K122</f>
        <v>1899.19</v>
      </c>
      <c r="M122" s="471">
        <f t="shared" si="4"/>
        <v>154309.19</v>
      </c>
      <c r="N122" s="405"/>
      <c r="O122" s="541"/>
      <c r="P122" s="405"/>
      <c r="Q122" s="405"/>
      <c r="S122" s="344" t="str">
        <f t="shared" si="3"/>
        <v>EXECUÇÃO DE PASSEIO (CALÇADA) OU PISO DE CONCRETO COM CONCRETO MOLDADO IN LOCO, FEITO EM OBRA, ACABAMENTO CONVENCIONAL, ESPESSURA 8 CM, ARMADO. AF_07/2016</v>
      </c>
    </row>
    <row r="123" spans="1:19" s="344" customFormat="1">
      <c r="A123" s="49"/>
      <c r="B123" s="17"/>
      <c r="C123" s="49"/>
      <c r="D123" s="451"/>
      <c r="E123" s="7"/>
      <c r="F123" s="10"/>
      <c r="G123" s="9"/>
      <c r="H123" s="9"/>
      <c r="I123" s="9"/>
      <c r="J123" s="9"/>
      <c r="K123" s="451"/>
      <c r="L123" s="474"/>
      <c r="M123" s="471"/>
      <c r="N123" s="405"/>
      <c r="O123" s="541"/>
      <c r="P123" s="405"/>
      <c r="Q123" s="405"/>
      <c r="S123" s="344" t="str">
        <f>UPPER(K123)</f>
        <v/>
      </c>
    </row>
    <row r="124" spans="1:19" s="344" customFormat="1">
      <c r="A124" s="49"/>
      <c r="B124" s="17"/>
      <c r="C124" s="49"/>
      <c r="D124" s="52" t="s">
        <v>76</v>
      </c>
      <c r="E124" s="7"/>
      <c r="F124" s="10"/>
      <c r="G124" s="27"/>
      <c r="H124" s="27"/>
      <c r="I124" s="9"/>
      <c r="J124" s="9"/>
      <c r="K124" s="383"/>
      <c r="L124" s="474"/>
      <c r="M124" s="471"/>
      <c r="N124" s="405"/>
      <c r="O124" s="541"/>
      <c r="P124" s="405"/>
      <c r="Q124" s="405"/>
      <c r="S124" s="344" t="str">
        <f t="shared" ref="S124:S131" si="5">UPPER(D124)</f>
        <v/>
      </c>
    </row>
    <row r="125" spans="1:19" s="344" customFormat="1">
      <c r="A125" s="59">
        <v>13</v>
      </c>
      <c r="B125" s="38"/>
      <c r="C125" s="59"/>
      <c r="D125" s="738" t="s">
        <v>2079</v>
      </c>
      <c r="E125" s="28"/>
      <c r="F125" s="36"/>
      <c r="G125" s="36"/>
      <c r="H125" s="36"/>
      <c r="I125" s="9"/>
      <c r="J125" s="9"/>
      <c r="K125" s="383"/>
      <c r="L125" s="474"/>
      <c r="M125" s="471"/>
      <c r="N125" s="405"/>
      <c r="O125" s="541"/>
      <c r="P125" s="405"/>
      <c r="Q125" s="405"/>
      <c r="S125" s="344" t="str">
        <f t="shared" si="5"/>
        <v>URBANIZAÇÃO</v>
      </c>
    </row>
    <row r="126" spans="1:19" s="414" customFormat="1" hidden="1">
      <c r="A126" s="650" t="s">
        <v>66</v>
      </c>
      <c r="B126" s="425"/>
      <c r="C126" s="410"/>
      <c r="D126" s="706" t="s">
        <v>2080</v>
      </c>
      <c r="E126" s="640"/>
      <c r="F126" s="623"/>
      <c r="G126" s="623"/>
      <c r="H126" s="623"/>
      <c r="I126" s="412"/>
      <c r="J126" s="412"/>
      <c r="K126" s="498"/>
      <c r="L126" s="474"/>
      <c r="M126" s="471"/>
      <c r="N126" s="405"/>
      <c r="O126" s="541"/>
      <c r="P126" s="419"/>
      <c r="Q126" s="419"/>
      <c r="S126" s="414" t="str">
        <f t="shared" si="5"/>
        <v>ALAMBRADO</v>
      </c>
    </row>
    <row r="127" spans="1:19" s="414" customFormat="1" hidden="1">
      <c r="A127" s="650" t="s">
        <v>75</v>
      </c>
      <c r="B127" s="425"/>
      <c r="C127" s="410"/>
      <c r="D127" s="706" t="s">
        <v>2080</v>
      </c>
      <c r="E127" s="640"/>
      <c r="F127" s="623"/>
      <c r="G127" s="423"/>
      <c r="H127" s="423"/>
      <c r="I127" s="412"/>
      <c r="J127" s="412"/>
      <c r="K127" s="498"/>
      <c r="L127" s="474"/>
      <c r="M127" s="471"/>
      <c r="N127" s="405"/>
      <c r="O127" s="541"/>
      <c r="P127" s="419"/>
      <c r="Q127" s="419"/>
      <c r="S127" s="414" t="str">
        <f t="shared" si="5"/>
        <v>ALAMBRADO</v>
      </c>
    </row>
    <row r="128" spans="1:19" s="344" customFormat="1" ht="38.25" hidden="1">
      <c r="A128" s="55" t="s">
        <v>74</v>
      </c>
      <c r="B128" s="49" t="str">
        <f>'[3]Plan Tron'!B35</f>
        <v>73787/001</v>
      </c>
      <c r="C128" s="49" t="str">
        <f>'[3]Plan Tron'!C35</f>
        <v>SINAPI</v>
      </c>
      <c r="D128" s="39" t="str">
        <f>'[3]Plan Tron'!D35</f>
        <v>ALAMBRADO EM TUBOS DE ACO GALVANIZADO, COM COSTURA, DIN 2440, DIAMETRO 2", ALTURA 3M, FIXADOS A CADA 2M EM BLOCOS DE CONCRETO, COM TELA DE ARAME GALVANIZADO REVESTIDO COM PVC, FIO 12 BWG E MALHA 7,5X7,5CM</v>
      </c>
      <c r="E128" s="672" t="str">
        <f>'[3]Plan Tron'!E35</f>
        <v>M²</v>
      </c>
      <c r="F128" s="36">
        <v>1513.32</v>
      </c>
      <c r="G128" s="19">
        <f>ROUND(129.94,2)</f>
        <v>129.94</v>
      </c>
      <c r="H128" s="19">
        <f>'[3]Plan Tron'!F35</f>
        <v>177.36</v>
      </c>
      <c r="I128" s="9">
        <v>26.44</v>
      </c>
      <c r="J128" s="9">
        <f>ROUND(H128*(I128/100+1),2)</f>
        <v>224.25</v>
      </c>
      <c r="K128" s="658">
        <v>1513.32</v>
      </c>
      <c r="L128" s="474">
        <f>F128-K128</f>
        <v>0</v>
      </c>
      <c r="M128" s="471">
        <f t="shared" si="4"/>
        <v>0</v>
      </c>
      <c r="N128" s="405"/>
      <c r="O128" s="541"/>
      <c r="P128" s="405"/>
      <c r="Q128" s="405"/>
      <c r="S128" s="344" t="str">
        <f t="shared" si="5"/>
        <v>ALAMBRADO EM TUBOS DE ACO GALVANIZADO, COM COSTURA, DIN 2440, DIAMETRO 2", ALTURA 3M, FIXADOS A CADA 2M EM BLOCOS DE CONCRETO, COM TELA DE ARAME GALVANIZADO REVESTIDO COM PVC, FIO 12 BWG E MALHA 7,5X7,5CM</v>
      </c>
    </row>
    <row r="129" spans="1:19" s="414" customFormat="1">
      <c r="A129" s="650" t="s">
        <v>65</v>
      </c>
      <c r="B129" s="425"/>
      <c r="C129" s="410"/>
      <c r="D129" s="706" t="s">
        <v>2081</v>
      </c>
      <c r="E129" s="640"/>
      <c r="F129" s="623"/>
      <c r="G129" s="623"/>
      <c r="H129" s="623"/>
      <c r="I129" s="412"/>
      <c r="J129" s="412"/>
      <c r="K129" s="498"/>
      <c r="L129" s="474"/>
      <c r="M129" s="471"/>
      <c r="N129" s="405"/>
      <c r="O129" s="541"/>
      <c r="P129" s="419"/>
      <c r="Q129" s="419"/>
      <c r="S129" s="414" t="str">
        <f t="shared" si="5"/>
        <v>GRAMA, INCLUSIVE PREPARO DO SOLO</v>
      </c>
    </row>
    <row r="130" spans="1:19" s="414" customFormat="1">
      <c r="A130" s="650" t="s">
        <v>73</v>
      </c>
      <c r="B130" s="425"/>
      <c r="C130" s="410"/>
      <c r="D130" s="706" t="s">
        <v>2082</v>
      </c>
      <c r="E130" s="640"/>
      <c r="F130" s="623"/>
      <c r="G130" s="423"/>
      <c r="H130" s="423"/>
      <c r="I130" s="412"/>
      <c r="J130" s="412"/>
      <c r="K130" s="498"/>
      <c r="L130" s="474"/>
      <c r="M130" s="471"/>
      <c r="N130" s="405"/>
      <c r="O130" s="541"/>
      <c r="P130" s="419"/>
      <c r="Q130" s="419"/>
      <c r="S130" s="414" t="str">
        <f t="shared" si="5"/>
        <v>PLANTIO DE GRAMA.</v>
      </c>
    </row>
    <row r="131" spans="1:19" s="344" customFormat="1">
      <c r="A131" s="55" t="s">
        <v>72</v>
      </c>
      <c r="B131" s="49" t="str">
        <f>'[3]Plan Tron'!B36</f>
        <v>74236/001</v>
      </c>
      <c r="C131" s="49" t="str">
        <f>'[3]Plan Tron'!C36</f>
        <v>SINAPI</v>
      </c>
      <c r="D131" s="39" t="str">
        <f>'[3]Plan Tron'!D36</f>
        <v>PLANTIO DE GRAMA BATATAIS EM PLACAS</v>
      </c>
      <c r="E131" s="672" t="str">
        <f>'[3]Plan Tron'!E36</f>
        <v>M²</v>
      </c>
      <c r="F131" s="36">
        <v>11475.97</v>
      </c>
      <c r="G131" s="19">
        <f>ROUND(5.97,2)</f>
        <v>5.97</v>
      </c>
      <c r="H131" s="19">
        <f>'[3]Plan Tron'!F36</f>
        <v>9.69</v>
      </c>
      <c r="I131" s="9">
        <v>26.44</v>
      </c>
      <c r="J131" s="9">
        <f>ROUND(H131*(I131/100+1),2)</f>
        <v>12.25</v>
      </c>
      <c r="K131" s="383">
        <v>0</v>
      </c>
      <c r="L131" s="474">
        <f>F131-K131</f>
        <v>11475.97</v>
      </c>
      <c r="M131" s="471">
        <f t="shared" si="4"/>
        <v>140580.63</v>
      </c>
      <c r="N131" s="405"/>
      <c r="O131" s="541"/>
      <c r="P131" s="405"/>
      <c r="Q131" s="405"/>
      <c r="S131" s="344" t="str">
        <f t="shared" si="5"/>
        <v>PLANTIO DE GRAMA BATATAIS EM PLACAS</v>
      </c>
    </row>
    <row r="132" spans="1:19">
      <c r="A132" s="88"/>
      <c r="B132" s="110"/>
      <c r="C132" s="88"/>
      <c r="D132" s="110"/>
      <c r="E132" s="43"/>
      <c r="F132" s="41"/>
      <c r="G132" s="40"/>
      <c r="H132" s="40"/>
      <c r="I132" s="40"/>
      <c r="J132" s="40"/>
      <c r="K132" s="110"/>
      <c r="L132" s="474"/>
      <c r="M132" s="472"/>
      <c r="N132" s="405"/>
      <c r="O132" s="541"/>
      <c r="P132" s="405"/>
      <c r="Q132" s="405"/>
    </row>
    <row r="133" spans="1:19">
      <c r="A133" s="88"/>
      <c r="B133" s="110"/>
      <c r="C133" s="88"/>
      <c r="D133" s="438"/>
      <c r="E133" s="43"/>
      <c r="F133" s="41"/>
      <c r="G133" s="40"/>
      <c r="H133" s="40"/>
      <c r="I133" s="40"/>
      <c r="J133" s="40"/>
      <c r="K133" s="110"/>
      <c r="L133" s="474"/>
      <c r="M133" s="472"/>
      <c r="N133" s="405"/>
      <c r="O133" s="541"/>
      <c r="P133" s="405"/>
      <c r="Q133" s="405"/>
    </row>
    <row r="134" spans="1:19">
      <c r="A134" s="88"/>
      <c r="B134" s="110"/>
      <c r="C134" s="88"/>
      <c r="D134" s="511" t="s">
        <v>2349</v>
      </c>
      <c r="E134" s="461"/>
      <c r="F134" s="503"/>
      <c r="G134" s="502"/>
      <c r="H134" s="502"/>
      <c r="I134" s="40"/>
      <c r="J134" s="40"/>
      <c r="K134" s="506"/>
      <c r="L134" s="476"/>
      <c r="M134" s="505">
        <f>SUM(M13:M132)</f>
        <v>1189018.06</v>
      </c>
      <c r="N134" s="405"/>
      <c r="O134" s="541"/>
      <c r="P134" s="405"/>
      <c r="Q134" s="405"/>
      <c r="S134" s="344" t="str">
        <f t="shared" ref="S134:S167" si="6">UPPER(D134)</f>
        <v>TOTAL ITEM 1</v>
      </c>
    </row>
    <row r="135" spans="1:19">
      <c r="A135" s="88"/>
      <c r="B135" s="110"/>
      <c r="C135" s="88"/>
      <c r="D135" s="396" t="s">
        <v>76</v>
      </c>
      <c r="E135" s="43" t="s">
        <v>76</v>
      </c>
      <c r="F135" s="41"/>
      <c r="G135" s="40"/>
      <c r="H135" s="40"/>
      <c r="I135" s="40"/>
      <c r="J135" s="40"/>
      <c r="K135" s="383"/>
      <c r="L135" s="474"/>
      <c r="M135" s="471"/>
      <c r="N135" s="405"/>
      <c r="O135" s="541"/>
      <c r="P135" s="405"/>
      <c r="Q135" s="405"/>
      <c r="S135" s="344" t="str">
        <f t="shared" si="6"/>
        <v/>
      </c>
    </row>
    <row r="136" spans="1:19" s="450" customFormat="1">
      <c r="A136" s="445">
        <v>2</v>
      </c>
      <c r="B136" s="446"/>
      <c r="C136" s="447"/>
      <c r="D136" s="448" t="s">
        <v>1956</v>
      </c>
      <c r="E136" s="453" t="s">
        <v>76</v>
      </c>
      <c r="F136" s="446"/>
      <c r="G136" s="446"/>
      <c r="H136" s="446"/>
      <c r="I136" s="446"/>
      <c r="J136" s="446"/>
      <c r="K136" s="473"/>
      <c r="L136" s="478"/>
      <c r="M136" s="479"/>
      <c r="N136" s="454"/>
      <c r="O136" s="541"/>
      <c r="P136" s="454"/>
      <c r="Q136" s="454"/>
      <c r="S136" s="450" t="str">
        <f t="shared" si="6"/>
        <v xml:space="preserve">  DISTRIBUIÇÃO GERAL</v>
      </c>
    </row>
    <row r="137" spans="1:19">
      <c r="A137" s="45">
        <v>1</v>
      </c>
      <c r="B137" s="57"/>
      <c r="C137" s="45"/>
      <c r="D137" s="53" t="s">
        <v>2083</v>
      </c>
      <c r="E137" s="47" t="s">
        <v>76</v>
      </c>
      <c r="F137" s="48"/>
      <c r="G137" s="9"/>
      <c r="H137" s="9"/>
      <c r="I137" s="9"/>
      <c r="J137" s="9"/>
      <c r="K137" s="383"/>
      <c r="L137" s="474"/>
      <c r="M137" s="471"/>
      <c r="N137" s="405"/>
      <c r="O137" s="541"/>
      <c r="P137" s="405"/>
      <c r="Q137" s="405"/>
      <c r="S137" s="344" t="str">
        <f t="shared" si="6"/>
        <v>MONTAGEM DE MATERIAIS E EQUIPAMENTOS ELÉTRICOS, DE AUTOMAÇÃO E DIVERSOS - DISTRIBUIÇÃO GERAL</v>
      </c>
    </row>
    <row r="138" spans="1:19" s="344" customFormat="1" ht="25.5">
      <c r="A138" s="49" t="s">
        <v>20</v>
      </c>
      <c r="B138" s="50" t="s">
        <v>189</v>
      </c>
      <c r="C138" s="49"/>
      <c r="D138" s="130" t="s">
        <v>2084</v>
      </c>
      <c r="E138" s="7" t="s">
        <v>2337</v>
      </c>
      <c r="F138" s="21">
        <v>1</v>
      </c>
      <c r="G138" s="10">
        <v>76015.459999999992</v>
      </c>
      <c r="H138" s="9">
        <f>G138*$P$7</f>
        <v>87820.660937999986</v>
      </c>
      <c r="I138" s="10">
        <v>26.44</v>
      </c>
      <c r="J138" s="10">
        <f t="shared" ref="J138:J143" si="7">ROUND(H138*(I138/100+1),2)</f>
        <v>111040.44</v>
      </c>
      <c r="K138" s="383">
        <v>0</v>
      </c>
      <c r="L138" s="474">
        <f t="shared" ref="L138:L143" si="8">F138-K138</f>
        <v>1</v>
      </c>
      <c r="M138" s="471">
        <f>ROUND(L138*J138,2)</f>
        <v>111040.44</v>
      </c>
      <c r="N138" s="405"/>
      <c r="O138" s="541"/>
      <c r="P138" s="405"/>
      <c r="Q138" s="405"/>
      <c r="S138" s="344" t="str">
        <f t="shared" si="6"/>
        <v>IMPLANTAÇÃO DA REDE DE DISTRIBUIÇÃO SUBTERRÂNEA DE ENERGIA, COM EXCAVAÇÃO DO SOLO, LANÇAMENTO DE ELETRODUTOS, CONCRETAGEM E POSTERIOR PASSAGEM DE CABOS, CONFORME COMPOSIÇÃO EM ANEXO.</v>
      </c>
    </row>
    <row r="139" spans="1:19" s="344" customFormat="1">
      <c r="A139" s="49" t="s">
        <v>19</v>
      </c>
      <c r="B139" s="50" t="s">
        <v>188</v>
      </c>
      <c r="C139" s="49"/>
      <c r="D139" s="130" t="s">
        <v>2085</v>
      </c>
      <c r="E139" s="7" t="s">
        <v>2337</v>
      </c>
      <c r="F139" s="21">
        <v>1</v>
      </c>
      <c r="G139" s="10">
        <v>3129.6</v>
      </c>
      <c r="H139" s="9">
        <f t="shared" ref="H139:H143" si="9">G139*$P$7</f>
        <v>3615.6268799999998</v>
      </c>
      <c r="I139" s="10">
        <v>26.44</v>
      </c>
      <c r="J139" s="10">
        <f t="shared" si="7"/>
        <v>4571.6000000000004</v>
      </c>
      <c r="K139" s="383">
        <v>0</v>
      </c>
      <c r="L139" s="474">
        <f t="shared" si="8"/>
        <v>1</v>
      </c>
      <c r="M139" s="471">
        <f t="shared" ref="M139:M167" si="10">ROUND(L139*J139,2)</f>
        <v>4571.6000000000004</v>
      </c>
      <c r="N139" s="405"/>
      <c r="O139" s="541"/>
      <c r="P139" s="405"/>
      <c r="Q139" s="405"/>
      <c r="S139" s="344" t="str">
        <f t="shared" si="6"/>
        <v>IMPLANTAÇÃO DA REDE DE ATERRAMENTO GERAL.</v>
      </c>
    </row>
    <row r="140" spans="1:19" s="344" customFormat="1" ht="25.5">
      <c r="A140" s="49" t="s">
        <v>18</v>
      </c>
      <c r="B140" s="50" t="s">
        <v>187</v>
      </c>
      <c r="C140" s="49"/>
      <c r="D140" s="130" t="s">
        <v>2086</v>
      </c>
      <c r="E140" s="7" t="s">
        <v>2337</v>
      </c>
      <c r="F140" s="21">
        <v>32</v>
      </c>
      <c r="G140" s="10">
        <v>108.59000000000002</v>
      </c>
      <c r="H140" s="9">
        <f t="shared" si="9"/>
        <v>125.45402700000002</v>
      </c>
      <c r="I140" s="10">
        <v>26.44</v>
      </c>
      <c r="J140" s="10">
        <f t="shared" si="7"/>
        <v>158.62</v>
      </c>
      <c r="K140" s="383">
        <v>0</v>
      </c>
      <c r="L140" s="474">
        <f t="shared" si="8"/>
        <v>32</v>
      </c>
      <c r="M140" s="471">
        <f t="shared" si="10"/>
        <v>5075.84</v>
      </c>
      <c r="N140" s="405"/>
      <c r="O140" s="541"/>
      <c r="P140" s="405"/>
      <c r="Q140" s="405"/>
      <c r="S140" s="344" t="str">
        <f t="shared" si="6"/>
        <v>CONSTRUÇÃO DA CAIXA DE ALVENARIA, DIMENSÕES INTERNAS DE 400X400X600 MM, CONFORME COMPOSIÇÃO EM ANEXO.</v>
      </c>
    </row>
    <row r="141" spans="1:19" s="344" customFormat="1" ht="25.5">
      <c r="A141" s="49" t="s">
        <v>17</v>
      </c>
      <c r="B141" s="50" t="s">
        <v>186</v>
      </c>
      <c r="C141" s="49"/>
      <c r="D141" s="130" t="s">
        <v>2087</v>
      </c>
      <c r="E141" s="7" t="s">
        <v>2337</v>
      </c>
      <c r="F141" s="21">
        <v>16</v>
      </c>
      <c r="G141" s="10">
        <v>221.35</v>
      </c>
      <c r="H141" s="9">
        <f t="shared" si="9"/>
        <v>255.72565499999999</v>
      </c>
      <c r="I141" s="10">
        <v>26.44</v>
      </c>
      <c r="J141" s="10">
        <f t="shared" si="7"/>
        <v>323.33999999999997</v>
      </c>
      <c r="K141" s="383">
        <v>0</v>
      </c>
      <c r="L141" s="474">
        <f t="shared" si="8"/>
        <v>16</v>
      </c>
      <c r="M141" s="471">
        <f t="shared" si="10"/>
        <v>5173.4399999999996</v>
      </c>
      <c r="N141" s="405"/>
      <c r="O141" s="541"/>
      <c r="P141" s="405"/>
      <c r="Q141" s="405"/>
      <c r="S141" s="344" t="str">
        <f t="shared" si="6"/>
        <v>CONSTRUÇÃO DA CAIXA DE ALVENARIA, DIMENSÕES INTERNAS DE 600X600X800 MM, CONFORME COMPOSIÇÃO EM ANEXO.</v>
      </c>
    </row>
    <row r="142" spans="1:19" s="344" customFormat="1" ht="25.5">
      <c r="A142" s="49" t="s">
        <v>16</v>
      </c>
      <c r="B142" s="50" t="s">
        <v>185</v>
      </c>
      <c r="C142" s="49"/>
      <c r="D142" s="130" t="s">
        <v>2088</v>
      </c>
      <c r="E142" s="7" t="s">
        <v>2337</v>
      </c>
      <c r="F142" s="21">
        <v>6</v>
      </c>
      <c r="G142" s="10">
        <v>361.64999999999992</v>
      </c>
      <c r="H142" s="9">
        <f t="shared" si="9"/>
        <v>417.81424499999991</v>
      </c>
      <c r="I142" s="10">
        <v>26.44</v>
      </c>
      <c r="J142" s="10">
        <f t="shared" si="7"/>
        <v>528.28</v>
      </c>
      <c r="K142" s="383">
        <v>0</v>
      </c>
      <c r="L142" s="474">
        <f t="shared" si="8"/>
        <v>6</v>
      </c>
      <c r="M142" s="471">
        <f t="shared" si="10"/>
        <v>3169.68</v>
      </c>
      <c r="N142" s="405"/>
      <c r="O142" s="541"/>
      <c r="P142" s="405"/>
      <c r="Q142" s="405"/>
      <c r="S142" s="344" t="str">
        <f t="shared" si="6"/>
        <v>CONSTRUÇÃO DA CAIXA DE ALVENARIA, DIMENSÕES INTERNAS DE 800X800X1000 MM, CONFORME COMPOSIÇÃO EM ANEXO.</v>
      </c>
    </row>
    <row r="143" spans="1:19" s="344" customFormat="1" ht="25.5">
      <c r="A143" s="49" t="s">
        <v>15</v>
      </c>
      <c r="B143" s="50" t="s">
        <v>184</v>
      </c>
      <c r="C143" s="49"/>
      <c r="D143" s="130" t="s">
        <v>2089</v>
      </c>
      <c r="E143" s="18" t="s">
        <v>2337</v>
      </c>
      <c r="F143" s="51">
        <v>6</v>
      </c>
      <c r="G143" s="10">
        <v>542.24000000000012</v>
      </c>
      <c r="H143" s="9">
        <f t="shared" si="9"/>
        <v>626.44987200000014</v>
      </c>
      <c r="I143" s="10">
        <v>26.44</v>
      </c>
      <c r="J143" s="10">
        <f t="shared" si="7"/>
        <v>792.08</v>
      </c>
      <c r="K143" s="383">
        <v>0</v>
      </c>
      <c r="L143" s="474">
        <f t="shared" si="8"/>
        <v>6</v>
      </c>
      <c r="M143" s="471">
        <f t="shared" si="10"/>
        <v>4752.4799999999996</v>
      </c>
      <c r="N143" s="405"/>
      <c r="O143" s="541"/>
      <c r="P143" s="405"/>
      <c r="Q143" s="405"/>
      <c r="S143" s="344" t="str">
        <f t="shared" si="6"/>
        <v>CONSTRUÇÃO DA CAIXA DE ALVENARIA, DIMENSÕES INTERNAS DE 1000X1000X1200 MM, CONFORME COMPOSIÇÃO EM ANEXO.</v>
      </c>
    </row>
    <row r="144" spans="1:19" s="414" customFormat="1">
      <c r="A144" s="410" t="s">
        <v>14</v>
      </c>
      <c r="B144" s="428"/>
      <c r="C144" s="410"/>
      <c r="D144" s="429" t="s">
        <v>2090</v>
      </c>
      <c r="E144" s="421"/>
      <c r="F144" s="430"/>
      <c r="G144" s="413"/>
      <c r="H144" s="413"/>
      <c r="I144" s="413"/>
      <c r="J144" s="413"/>
      <c r="K144" s="498"/>
      <c r="L144" s="474"/>
      <c r="M144" s="471"/>
      <c r="N144" s="419"/>
      <c r="O144" s="541"/>
      <c r="P144" s="419"/>
      <c r="Q144" s="419"/>
      <c r="S144" s="414" t="str">
        <f t="shared" si="6"/>
        <v>FIOS E CABOS</v>
      </c>
    </row>
    <row r="145" spans="1:19" s="344" customFormat="1" ht="25.5">
      <c r="A145" s="49" t="s">
        <v>181</v>
      </c>
      <c r="B145" s="49">
        <f>'[3]Plan Tron'!B37</f>
        <v>91925</v>
      </c>
      <c r="C145" s="49" t="str">
        <f>'[3]Plan Tron'!C37</f>
        <v>SINAPI</v>
      </c>
      <c r="D145" s="130" t="str">
        <f>'[3]Plan Tron'!D37</f>
        <v>CABO DE COBRE FLEXÍVEL ISOLADO, 1,5 MM², ANTI-CHAMA 0,6/1,0 KV, PARA CIRCUITOS TERMINAIS - FORNECIMENTO E INSTALAÇÃO. AF_12/2015 -  COR AMARELO.</v>
      </c>
      <c r="E145" s="77" t="str">
        <f>'[3]Plan Tron'!E37</f>
        <v>M</v>
      </c>
      <c r="F145" s="27">
        <v>15</v>
      </c>
      <c r="G145" s="10">
        <v>2.04</v>
      </c>
      <c r="H145" s="10">
        <f>'[3]Plan Tron'!F37</f>
        <v>2.1800000000000002</v>
      </c>
      <c r="I145" s="10">
        <v>26.44</v>
      </c>
      <c r="J145" s="10">
        <f>ROUND(H145*(I145/100+1),2)</f>
        <v>2.76</v>
      </c>
      <c r="K145" s="383">
        <v>0</v>
      </c>
      <c r="L145" s="474">
        <f t="shared" ref="L145:L157" si="11">F145-K145</f>
        <v>15</v>
      </c>
      <c r="M145" s="471">
        <f t="shared" si="10"/>
        <v>41.4</v>
      </c>
      <c r="N145" s="405"/>
      <c r="O145" s="541"/>
      <c r="P145" s="405"/>
      <c r="Q145" s="405"/>
      <c r="S145" s="344" t="str">
        <f t="shared" si="6"/>
        <v>CABO DE COBRE FLEXÍVEL ISOLADO, 1,5 MM², ANTI-CHAMA 0,6/1,0 KV, PARA CIRCUITOS TERMINAIS - FORNECIMENTO E INSTALAÇÃO. AF_12/2015 -  COR AMARELO.</v>
      </c>
    </row>
    <row r="146" spans="1:19" s="344" customFormat="1" ht="25.5">
      <c r="A146" s="49" t="s">
        <v>180</v>
      </c>
      <c r="B146" s="49">
        <f>'[3]Plan Tron'!B39</f>
        <v>91925</v>
      </c>
      <c r="C146" s="49" t="str">
        <f>'[3]Plan Tron'!C39</f>
        <v>SINAPI</v>
      </c>
      <c r="D146" s="130" t="str">
        <f>'[3]Plan Tron'!D39</f>
        <v>CABO DE COBRE FLEXÍVEL ISOLADO, 1,5 MM², ANTI-CHAMA 0,6/1,0 KV, PARA CIRCUITOS TERMINAIS - FORNECIMENTO E INSTALAÇÃO. AF_12/2015 -  COR AZUL</v>
      </c>
      <c r="E146" s="77" t="str">
        <f>'[3]Plan Tron'!E39</f>
        <v>M</v>
      </c>
      <c r="F146" s="27">
        <v>15</v>
      </c>
      <c r="G146" s="10">
        <f>G145</f>
        <v>2.04</v>
      </c>
      <c r="H146" s="10">
        <f>'[3]Plan Tron'!F39</f>
        <v>2.1800000000000002</v>
      </c>
      <c r="I146" s="10">
        <v>26.44</v>
      </c>
      <c r="J146" s="10">
        <f>ROUND(H146*(I146/100+1),2)</f>
        <v>2.76</v>
      </c>
      <c r="K146" s="383">
        <v>0</v>
      </c>
      <c r="L146" s="474">
        <f t="shared" si="11"/>
        <v>15</v>
      </c>
      <c r="M146" s="471">
        <f t="shared" si="10"/>
        <v>41.4</v>
      </c>
      <c r="N146" s="405"/>
      <c r="O146" s="541"/>
      <c r="P146" s="405"/>
      <c r="Q146" s="405"/>
      <c r="S146" s="344" t="str">
        <f t="shared" si="6"/>
        <v>CABO DE COBRE FLEXÍVEL ISOLADO, 1,5 MM², ANTI-CHAMA 0,6/1,0 KV, PARA CIRCUITOS TERMINAIS - FORNECIMENTO E INSTALAÇÃO. AF_12/2015 -  COR AZUL</v>
      </c>
    </row>
    <row r="147" spans="1:19" s="344" customFormat="1" ht="25.5">
      <c r="A147" s="49" t="s">
        <v>179</v>
      </c>
      <c r="B147" s="49">
        <f>'[3]Plan Tron'!B40</f>
        <v>91925</v>
      </c>
      <c r="C147" s="49" t="str">
        <f>'[3]Plan Tron'!C40</f>
        <v>SINAPI</v>
      </c>
      <c r="D147" s="130" t="str">
        <f>'[3]Plan Tron'!D40</f>
        <v>CABO DE COBRE FLEXÍVEL ISOLADO, 1,5 MM², ANTI-CHAMA 0,6/1,0 KV, PARA CIRCUITOS TERMINAIS - FORNECIMENTO E INSTALAÇÃO. AF_12/2015 -  COR VERDE</v>
      </c>
      <c r="E147" s="77" t="str">
        <f>'[3]Plan Tron'!E40</f>
        <v>M</v>
      </c>
      <c r="F147" s="27">
        <v>15</v>
      </c>
      <c r="G147" s="10">
        <f>G145</f>
        <v>2.04</v>
      </c>
      <c r="H147" s="10">
        <f>'[3]Plan Tron'!F40</f>
        <v>2.1800000000000002</v>
      </c>
      <c r="I147" s="10">
        <v>26.44</v>
      </c>
      <c r="J147" s="10">
        <f>ROUND(H147*(I147/100+1),2)</f>
        <v>2.76</v>
      </c>
      <c r="K147" s="383">
        <v>0</v>
      </c>
      <c r="L147" s="474">
        <f t="shared" si="11"/>
        <v>15</v>
      </c>
      <c r="M147" s="471">
        <f t="shared" si="10"/>
        <v>41.4</v>
      </c>
      <c r="N147" s="405"/>
      <c r="O147" s="541"/>
      <c r="P147" s="405"/>
      <c r="Q147" s="405"/>
      <c r="S147" s="344" t="str">
        <f t="shared" si="6"/>
        <v>CABO DE COBRE FLEXÍVEL ISOLADO, 1,5 MM², ANTI-CHAMA 0,6/1,0 KV, PARA CIRCUITOS TERMINAIS - FORNECIMENTO E INSTALAÇÃO. AF_12/2015 -  COR VERDE</v>
      </c>
    </row>
    <row r="148" spans="1:19" s="344" customFormat="1" ht="25.5">
      <c r="A148" s="49" t="s">
        <v>178</v>
      </c>
      <c r="B148" s="49">
        <f>'[3]Plan Tron'!B41</f>
        <v>91927</v>
      </c>
      <c r="C148" s="49" t="str">
        <f>'[3]Plan Tron'!C41</f>
        <v>SINAPI</v>
      </c>
      <c r="D148" s="130" t="str">
        <f>'[3]Plan Tron'!D41</f>
        <v>CABO DE COBRE FLEXÍVEL ISOLADO, 2,5 MM², ANTI-CHAMA 0,6/1,0 KV, PARA CIRCUITOS TERMINAIS - FORNECIMENTO E INSTALAÇÃO. AF_12/2015 - COR AZUL.</v>
      </c>
      <c r="E148" s="77" t="str">
        <f>'[3]Plan Tron'!E41</f>
        <v>M</v>
      </c>
      <c r="F148" s="27">
        <v>30</v>
      </c>
      <c r="G148" s="10">
        <v>2.59</v>
      </c>
      <c r="H148" s="10">
        <f>'[3]Plan Tron'!F41</f>
        <v>2.9</v>
      </c>
      <c r="I148" s="10">
        <v>26.44</v>
      </c>
      <c r="J148" s="10">
        <f>ROUND(H148*(I148/100+1),2)</f>
        <v>3.67</v>
      </c>
      <c r="K148" s="383">
        <v>0</v>
      </c>
      <c r="L148" s="474">
        <f t="shared" si="11"/>
        <v>30</v>
      </c>
      <c r="M148" s="471">
        <f t="shared" si="10"/>
        <v>110.1</v>
      </c>
      <c r="N148" s="405"/>
      <c r="O148" s="541"/>
      <c r="P148" s="405"/>
      <c r="Q148" s="405"/>
      <c r="S148" s="344" t="str">
        <f t="shared" si="6"/>
        <v>CABO DE COBRE FLEXÍVEL ISOLADO, 2,5 MM², ANTI-CHAMA 0,6/1,0 KV, PARA CIRCUITOS TERMINAIS - FORNECIMENTO E INSTALAÇÃO. AF_12/2015 - COR AZUL.</v>
      </c>
    </row>
    <row r="149" spans="1:19" s="344" customFormat="1" ht="25.5">
      <c r="A149" s="49" t="s">
        <v>177</v>
      </c>
      <c r="B149" s="49">
        <f>'[3]Plan Tron'!B42</f>
        <v>91927</v>
      </c>
      <c r="C149" s="49" t="str">
        <f>'[3]Plan Tron'!C42</f>
        <v>SINAPI</v>
      </c>
      <c r="D149" s="130" t="str">
        <f>'[3]Plan Tron'!D42</f>
        <v>CABO DE COBRE FLEXÍVEL ISOLADO, 2,5 MM², ANTI-CHAMA 0,6/1,0 KV, PARA CIRCUITOS TERMINAIS - FORNECIMENTO E INSTALAÇÃO. AF_12/2015 - COR PRETO.</v>
      </c>
      <c r="E149" s="77" t="str">
        <f>'[3]Plan Tron'!E42</f>
        <v>M</v>
      </c>
      <c r="F149" s="27">
        <v>30</v>
      </c>
      <c r="G149" s="10">
        <f>G148</f>
        <v>2.59</v>
      </c>
      <c r="H149" s="10">
        <f>'[3]Plan Tron'!F42</f>
        <v>2.9</v>
      </c>
      <c r="I149" s="10">
        <v>26.44</v>
      </c>
      <c r="J149" s="10">
        <f>ROUND(H148*(I149/100+1),2)</f>
        <v>3.67</v>
      </c>
      <c r="K149" s="383">
        <v>0</v>
      </c>
      <c r="L149" s="474">
        <f t="shared" si="11"/>
        <v>30</v>
      </c>
      <c r="M149" s="471">
        <f t="shared" si="10"/>
        <v>110.1</v>
      </c>
      <c r="N149" s="405"/>
      <c r="O149" s="541"/>
      <c r="P149" s="405"/>
      <c r="Q149" s="405"/>
      <c r="S149" s="344" t="str">
        <f t="shared" si="6"/>
        <v>CABO DE COBRE FLEXÍVEL ISOLADO, 2,5 MM², ANTI-CHAMA 0,6/1,0 KV, PARA CIRCUITOS TERMINAIS - FORNECIMENTO E INSTALAÇÃO. AF_12/2015 - COR PRETO.</v>
      </c>
    </row>
    <row r="150" spans="1:19" s="344" customFormat="1" ht="25.5">
      <c r="A150" s="49" t="s">
        <v>176</v>
      </c>
      <c r="B150" s="49">
        <f>'[3]Plan Tron'!B43</f>
        <v>91927</v>
      </c>
      <c r="C150" s="49" t="str">
        <f>'[3]Plan Tron'!C43</f>
        <v>SINAPI</v>
      </c>
      <c r="D150" s="130" t="str">
        <f>'[3]Plan Tron'!D43</f>
        <v>CABO DE COBRE FLEXÍVEL ISOLADO, 2,5 MM², ANTI-CHAMA 0,6/1,0 KV, PARA CIRCUITOS TERMINAIS - FORNECIMENTO E INSTALAÇÃO. AF_12/2015 - COR VERDE</v>
      </c>
      <c r="E150" s="77" t="str">
        <f>'[3]Plan Tron'!E43</f>
        <v>M</v>
      </c>
      <c r="F150" s="27">
        <v>30</v>
      </c>
      <c r="G150" s="10">
        <f>G148</f>
        <v>2.59</v>
      </c>
      <c r="H150" s="10">
        <f>'[3]Plan Tron'!F43</f>
        <v>2.9</v>
      </c>
      <c r="I150" s="10">
        <v>26.44</v>
      </c>
      <c r="J150" s="10">
        <f t="shared" ref="J150:J157" si="12">ROUND(H150*(I150/100+1),2)</f>
        <v>3.67</v>
      </c>
      <c r="K150" s="383">
        <v>0</v>
      </c>
      <c r="L150" s="474">
        <f t="shared" si="11"/>
        <v>30</v>
      </c>
      <c r="M150" s="471">
        <f t="shared" si="10"/>
        <v>110.1</v>
      </c>
      <c r="N150" s="405"/>
      <c r="O150" s="541"/>
      <c r="P150" s="405"/>
      <c r="Q150" s="405"/>
      <c r="S150" s="344" t="str">
        <f t="shared" si="6"/>
        <v>CABO DE COBRE FLEXÍVEL ISOLADO, 2,5 MM², ANTI-CHAMA 0,6/1,0 KV, PARA CIRCUITOS TERMINAIS - FORNECIMENTO E INSTALAÇÃO. AF_12/2015 - COR VERDE</v>
      </c>
    </row>
    <row r="151" spans="1:19" s="344" customFormat="1" ht="25.5">
      <c r="A151" s="49" t="s">
        <v>175</v>
      </c>
      <c r="B151" s="49">
        <f>'[3]Plan Tron'!B45</f>
        <v>92980</v>
      </c>
      <c r="C151" s="49" t="str">
        <f>'[3]Plan Tron'!C45</f>
        <v>SINAPI</v>
      </c>
      <c r="D151" s="130" t="str">
        <f>'[3]Plan Tron'!D45</f>
        <v>CABO DE COBRE FLEXÍVEL ISOLADO, 10 MM², ANTI-CHAMA 0,6/1,0 KV, PARA DISTRIBUIÇÃO - FORNECIMENTO E INSTALAÇÃO. AF_12/2015</v>
      </c>
      <c r="E151" s="77" t="str">
        <f>'[3]Plan Tron'!E45</f>
        <v>M</v>
      </c>
      <c r="F151" s="27">
        <v>675</v>
      </c>
      <c r="G151" s="10">
        <v>6.44</v>
      </c>
      <c r="H151" s="10">
        <f>'[3]Plan Tron'!F45</f>
        <v>5.07</v>
      </c>
      <c r="I151" s="10">
        <v>26.44</v>
      </c>
      <c r="J151" s="10">
        <f t="shared" si="12"/>
        <v>6.41</v>
      </c>
      <c r="K151" s="383">
        <v>0</v>
      </c>
      <c r="L151" s="474">
        <f t="shared" si="11"/>
        <v>675</v>
      </c>
      <c r="M151" s="471">
        <f t="shared" si="10"/>
        <v>4326.75</v>
      </c>
      <c r="N151" s="405"/>
      <c r="O151" s="541"/>
      <c r="P151" s="405"/>
      <c r="Q151" s="405"/>
      <c r="S151" s="344" t="str">
        <f t="shared" si="6"/>
        <v>CABO DE COBRE FLEXÍVEL ISOLADO, 10 MM², ANTI-CHAMA 0,6/1,0 KV, PARA DISTRIBUIÇÃO - FORNECIMENTO E INSTALAÇÃO. AF_12/2015</v>
      </c>
    </row>
    <row r="152" spans="1:19" s="344" customFormat="1" ht="25.5">
      <c r="A152" s="49" t="s">
        <v>174</v>
      </c>
      <c r="B152" s="49">
        <f>'[3]Plan Tron'!B46</f>
        <v>92982</v>
      </c>
      <c r="C152" s="49" t="str">
        <f>'[3]Plan Tron'!C46</f>
        <v>SINAPI</v>
      </c>
      <c r="D152" s="130" t="str">
        <f>'[3]Plan Tron'!D46</f>
        <v>CABO DE COBRE FLEXÍVEL ISOLADO, 16 MM², ANTI-CHAMA 0,6/1,0 KV, PARA DISTRIBUIÇÃO - FORNECIMENTO E INSTALAÇÃO. AF_12/2015</v>
      </c>
      <c r="E152" s="77" t="str">
        <f>'[3]Plan Tron'!E46</f>
        <v>M</v>
      </c>
      <c r="F152" s="27">
        <v>135</v>
      </c>
      <c r="G152" s="10">
        <v>8.99</v>
      </c>
      <c r="H152" s="10">
        <f>'[3]Plan Tron'!F46</f>
        <v>7.72</v>
      </c>
      <c r="I152" s="10">
        <v>26.44</v>
      </c>
      <c r="J152" s="10">
        <f t="shared" si="12"/>
        <v>9.76</v>
      </c>
      <c r="K152" s="383">
        <v>0</v>
      </c>
      <c r="L152" s="474">
        <f t="shared" si="11"/>
        <v>135</v>
      </c>
      <c r="M152" s="471">
        <f t="shared" si="10"/>
        <v>1317.6</v>
      </c>
      <c r="N152" s="405"/>
      <c r="O152" s="541"/>
      <c r="P152" s="405"/>
      <c r="Q152" s="405"/>
      <c r="S152" s="344" t="str">
        <f t="shared" si="6"/>
        <v>CABO DE COBRE FLEXÍVEL ISOLADO, 16 MM², ANTI-CHAMA 0,6/1,0 KV, PARA DISTRIBUIÇÃO - FORNECIMENTO E INSTALAÇÃO. AF_12/2015</v>
      </c>
    </row>
    <row r="153" spans="1:19" s="344" customFormat="1" ht="25.5">
      <c r="A153" s="49" t="s">
        <v>173</v>
      </c>
      <c r="B153" s="49">
        <f>'[3]Plan Tron'!B47</f>
        <v>92986</v>
      </c>
      <c r="C153" s="49" t="str">
        <f>'[3]Plan Tron'!C47</f>
        <v>SINAPI</v>
      </c>
      <c r="D153" s="130" t="str">
        <f>'[3]Plan Tron'!D47</f>
        <v>CABO DE COBRE FLEXÍVEL ISOLADO, 35 MM², ANTI-CHAMA 0,6/1,0 KV, PARA DISTRIBUIÇÃO - FORNECIMENTO E INSTALAÇÃO. AF_12/2015 COR AZUL.</v>
      </c>
      <c r="E153" s="77" t="str">
        <f>'[3]Plan Tron'!E47</f>
        <v>M</v>
      </c>
      <c r="F153" s="27">
        <v>185</v>
      </c>
      <c r="G153" s="10">
        <f>G152</f>
        <v>8.99</v>
      </c>
      <c r="H153" s="10">
        <f>'[3]Plan Tron'!F47</f>
        <v>17.690000000000001</v>
      </c>
      <c r="I153" s="10">
        <v>26.44</v>
      </c>
      <c r="J153" s="10">
        <f t="shared" si="12"/>
        <v>22.37</v>
      </c>
      <c r="K153" s="383">
        <v>0</v>
      </c>
      <c r="L153" s="474">
        <f t="shared" si="11"/>
        <v>185</v>
      </c>
      <c r="M153" s="471">
        <f t="shared" si="10"/>
        <v>4138.45</v>
      </c>
      <c r="N153" s="405"/>
      <c r="O153" s="541"/>
      <c r="P153" s="405"/>
      <c r="Q153" s="405"/>
      <c r="S153" s="344" t="str">
        <f t="shared" si="6"/>
        <v>CABO DE COBRE FLEXÍVEL ISOLADO, 35 MM², ANTI-CHAMA 0,6/1,0 KV, PARA DISTRIBUIÇÃO - FORNECIMENTO E INSTALAÇÃO. AF_12/2015 COR AZUL.</v>
      </c>
    </row>
    <row r="154" spans="1:19" s="344" customFormat="1" ht="25.5">
      <c r="A154" s="49" t="s">
        <v>172</v>
      </c>
      <c r="B154" s="49">
        <f>'[3]Plan Tron'!B48</f>
        <v>92986</v>
      </c>
      <c r="C154" s="49" t="str">
        <f>'[3]Plan Tron'!C48</f>
        <v>SINAPI</v>
      </c>
      <c r="D154" s="130" t="str">
        <f>'[3]Plan Tron'!D48</f>
        <v>CABO DE COBRE FLEXÍVEL ISOLADO, 35 MM², ANTI-CHAMA 0,6/1,0 KV, PARA DISTRIBUIÇÃO - FORNECIMENTO E INSTALAÇÃO. AF_12/2015 COR VERDE.</v>
      </c>
      <c r="E154" s="77" t="str">
        <f>'[3]Plan Tron'!E48</f>
        <v>M</v>
      </c>
      <c r="F154" s="27">
        <v>720</v>
      </c>
      <c r="G154" s="10">
        <f>G153</f>
        <v>8.99</v>
      </c>
      <c r="H154" s="10">
        <f>'[3]Plan Tron'!F48</f>
        <v>17.690000000000001</v>
      </c>
      <c r="I154" s="10">
        <v>26.44</v>
      </c>
      <c r="J154" s="10">
        <f t="shared" si="12"/>
        <v>22.37</v>
      </c>
      <c r="K154" s="383">
        <v>0</v>
      </c>
      <c r="L154" s="474">
        <f t="shared" si="11"/>
        <v>720</v>
      </c>
      <c r="M154" s="471">
        <f t="shared" si="10"/>
        <v>16106.4</v>
      </c>
      <c r="N154" s="405"/>
      <c r="O154" s="541"/>
      <c r="P154" s="405"/>
      <c r="Q154" s="405"/>
      <c r="S154" s="344" t="str">
        <f t="shared" si="6"/>
        <v>CABO DE COBRE FLEXÍVEL ISOLADO, 35 MM², ANTI-CHAMA 0,6/1,0 KV, PARA DISTRIBUIÇÃO - FORNECIMENTO E INSTALAÇÃO. AF_12/2015 COR VERDE.</v>
      </c>
    </row>
    <row r="155" spans="1:19" s="344" customFormat="1" ht="25.5">
      <c r="A155" s="49" t="s">
        <v>171</v>
      </c>
      <c r="B155" s="49">
        <f>'[3]Plan Tron'!B49</f>
        <v>92990</v>
      </c>
      <c r="C155" s="49" t="str">
        <f>'[3]Plan Tron'!C49</f>
        <v>SINAPI</v>
      </c>
      <c r="D155" s="130" t="str">
        <f>'[3]Plan Tron'!D49</f>
        <v>CABO DE COBRE FLEXÍVEL ISOLADO, 70 MM², ANTI-CHAMA 0,6/1,0 KV, PARA DISTRIBUIÇÃO - FORNECIMENTO E INSTALAÇÃO. AF_12/2015</v>
      </c>
      <c r="E155" s="77" t="str">
        <f>'[3]Plan Tron'!E49</f>
        <v>M</v>
      </c>
      <c r="F155" s="27">
        <v>555</v>
      </c>
      <c r="G155" s="10">
        <v>32.44</v>
      </c>
      <c r="H155" s="10">
        <f>'[3]Plan Tron'!F49</f>
        <v>33.43</v>
      </c>
      <c r="I155" s="10">
        <v>26.44</v>
      </c>
      <c r="J155" s="10">
        <f t="shared" si="12"/>
        <v>42.27</v>
      </c>
      <c r="K155" s="383">
        <v>0</v>
      </c>
      <c r="L155" s="474">
        <f t="shared" si="11"/>
        <v>555</v>
      </c>
      <c r="M155" s="471">
        <f t="shared" si="10"/>
        <v>23459.85</v>
      </c>
      <c r="N155" s="405"/>
      <c r="O155" s="541"/>
      <c r="P155" s="405"/>
      <c r="Q155" s="405"/>
      <c r="S155" s="344" t="str">
        <f t="shared" si="6"/>
        <v>CABO DE COBRE FLEXÍVEL ISOLADO, 70 MM², ANTI-CHAMA 0,6/1,0 KV, PARA DISTRIBUIÇÃO - FORNECIMENTO E INSTALAÇÃO. AF_12/2015</v>
      </c>
    </row>
    <row r="156" spans="1:19" s="344" customFormat="1" ht="25.5">
      <c r="A156" s="49" t="s">
        <v>170</v>
      </c>
      <c r="B156" s="49">
        <f>'[3]Plan Tron'!B50</f>
        <v>92992</v>
      </c>
      <c r="C156" s="49" t="str">
        <f>'[3]Plan Tron'!C50</f>
        <v>SINAPI</v>
      </c>
      <c r="D156" s="130" t="str">
        <f>'[3]Plan Tron'!D50</f>
        <v>CABO DE COBRE FLEXÍVEL ISOLADO, 95 MM², ANTI-CHAMA 0,6/1,0 KV, PARA DISTRIBUIÇÃO - FORNECIMENTO E INSTALAÇÃO. AF_12/2015</v>
      </c>
      <c r="E156" s="77" t="str">
        <f>'[3]Plan Tron'!E50</f>
        <v>M</v>
      </c>
      <c r="F156" s="27">
        <v>60</v>
      </c>
      <c r="G156" s="10">
        <v>44.32</v>
      </c>
      <c r="H156" s="10">
        <f>'[3]Plan Tron'!F50</f>
        <v>43.95</v>
      </c>
      <c r="I156" s="10">
        <v>26.44</v>
      </c>
      <c r="J156" s="10">
        <f t="shared" si="12"/>
        <v>55.57</v>
      </c>
      <c r="K156" s="383">
        <v>0</v>
      </c>
      <c r="L156" s="474">
        <f t="shared" si="11"/>
        <v>60</v>
      </c>
      <c r="M156" s="471">
        <f t="shared" si="10"/>
        <v>3334.2</v>
      </c>
      <c r="N156" s="405"/>
      <c r="O156" s="541"/>
      <c r="P156" s="405"/>
      <c r="Q156" s="405"/>
      <c r="S156" s="344" t="str">
        <f t="shared" si="6"/>
        <v>CABO DE COBRE FLEXÍVEL ISOLADO, 95 MM², ANTI-CHAMA 0,6/1,0 KV, PARA DISTRIBUIÇÃO - FORNECIMENTO E INSTALAÇÃO. AF_12/2015</v>
      </c>
    </row>
    <row r="157" spans="1:19" s="344" customFormat="1" ht="25.5">
      <c r="A157" s="49" t="s">
        <v>169</v>
      </c>
      <c r="B157" s="49">
        <f>'[3]Plan Tron'!B51</f>
        <v>92998</v>
      </c>
      <c r="C157" s="49" t="str">
        <f>'[3]Plan Tron'!C51</f>
        <v>SINAPI</v>
      </c>
      <c r="D157" s="130" t="str">
        <f>'[3]Plan Tron'!D51</f>
        <v>CABO DE COBRE FLEXÍVEL ISOLADO, 185 MM², ANTI-CHAMA 0,6/1,0 KV, PARA DISTRIBUIÇÃO - FORNECIMENTO E INSTALAÇÃO. AF_12/2015</v>
      </c>
      <c r="E157" s="77" t="str">
        <f>'[3]Plan Tron'!E51</f>
        <v>M</v>
      </c>
      <c r="F157" s="27">
        <v>180</v>
      </c>
      <c r="G157" s="10">
        <v>77.709999999999994</v>
      </c>
      <c r="H157" s="10">
        <f>'[3]Plan Tron'!F51</f>
        <v>85.31</v>
      </c>
      <c r="I157" s="10">
        <v>26.44</v>
      </c>
      <c r="J157" s="10">
        <f t="shared" si="12"/>
        <v>107.87</v>
      </c>
      <c r="K157" s="383">
        <v>0</v>
      </c>
      <c r="L157" s="474">
        <f t="shared" si="11"/>
        <v>180</v>
      </c>
      <c r="M157" s="471">
        <f t="shared" si="10"/>
        <v>19416.599999999999</v>
      </c>
      <c r="N157" s="405"/>
      <c r="O157" s="541"/>
      <c r="P157" s="405"/>
      <c r="Q157" s="405"/>
      <c r="S157" s="344" t="str">
        <f t="shared" si="6"/>
        <v>CABO DE COBRE FLEXÍVEL ISOLADO, 185 MM², ANTI-CHAMA 0,6/1,0 KV, PARA DISTRIBUIÇÃO - FORNECIMENTO E INSTALAÇÃO. AF_12/2015</v>
      </c>
    </row>
    <row r="158" spans="1:19" s="414" customFormat="1">
      <c r="A158" s="410" t="s">
        <v>13</v>
      </c>
      <c r="B158" s="428"/>
      <c r="C158" s="410"/>
      <c r="D158" s="429" t="s">
        <v>2091</v>
      </c>
      <c r="E158" s="617" t="s">
        <v>76</v>
      </c>
      <c r="F158" s="619"/>
      <c r="G158" s="413"/>
      <c r="H158" s="413"/>
      <c r="I158" s="413"/>
      <c r="J158" s="413"/>
      <c r="K158" s="498"/>
      <c r="L158" s="474"/>
      <c r="M158" s="471"/>
      <c r="N158" s="419"/>
      <c r="O158" s="541"/>
      <c r="P158" s="419"/>
      <c r="Q158" s="419"/>
      <c r="S158" s="414" t="str">
        <f t="shared" si="6"/>
        <v>ELETRODUTOS E AFINS</v>
      </c>
    </row>
    <row r="159" spans="1:19" s="344" customFormat="1">
      <c r="A159" s="49" t="s">
        <v>167</v>
      </c>
      <c r="B159" s="49" t="str">
        <f>'[3]Plan Tron'!B53</f>
        <v xml:space="preserve">380404 </v>
      </c>
      <c r="C159" s="49" t="str">
        <f>'[3]Plan Tron'!C53</f>
        <v>CPOS</v>
      </c>
      <c r="D159" s="130" t="str">
        <f>'[3]Plan Tron'!D53</f>
        <v xml:space="preserve">ELETRODUTO DE FERRO GALVANIZADO, MÉDIO DE 3/4' - COM ACESSÓRIOS </v>
      </c>
      <c r="E159" s="18" t="str">
        <f>'[3]Plan Tron'!E53</f>
        <v>M</v>
      </c>
      <c r="F159" s="36">
        <v>6</v>
      </c>
      <c r="G159" s="10">
        <v>19.86</v>
      </c>
      <c r="H159" s="10">
        <f>'[3]Plan Tron'!F53</f>
        <v>20.7</v>
      </c>
      <c r="I159" s="10">
        <v>26.44</v>
      </c>
      <c r="J159" s="10">
        <f>ROUND(H159*(I159/100+1),2)</f>
        <v>26.17</v>
      </c>
      <c r="K159" s="383">
        <v>0</v>
      </c>
      <c r="L159" s="474">
        <f>F159-K159</f>
        <v>6</v>
      </c>
      <c r="M159" s="471">
        <f t="shared" si="10"/>
        <v>157.02000000000001</v>
      </c>
      <c r="N159" s="405"/>
      <c r="O159" s="541"/>
      <c r="P159" s="405"/>
      <c r="Q159" s="405"/>
      <c r="S159" s="344" t="str">
        <f t="shared" si="6"/>
        <v xml:space="preserve">ELETRODUTO DE FERRO GALVANIZADO, MÉDIO DE 3/4' - COM ACESSÓRIOS </v>
      </c>
    </row>
    <row r="160" spans="1:19" s="344" customFormat="1">
      <c r="A160" s="49" t="s">
        <v>166</v>
      </c>
      <c r="B160" s="49" t="str">
        <f>'[3]Plan Tron'!B54</f>
        <v xml:space="preserve">380406 </v>
      </c>
      <c r="C160" s="49" t="str">
        <f>'[3]Plan Tron'!C54</f>
        <v>CPOS</v>
      </c>
      <c r="D160" s="130" t="str">
        <f>'[3]Plan Tron'!D54</f>
        <v xml:space="preserve">ELETRODUTO DE FERRO GALVANIZADO, MÉDIO DE 1' - COM ACESSÓRIOS </v>
      </c>
      <c r="E160" s="18" t="str">
        <f>'[3]Plan Tron'!E54</f>
        <v>M</v>
      </c>
      <c r="F160" s="36">
        <v>36</v>
      </c>
      <c r="G160" s="10">
        <v>21.38</v>
      </c>
      <c r="H160" s="10">
        <f>'[3]Plan Tron'!F54</f>
        <v>24.56</v>
      </c>
      <c r="I160" s="10">
        <v>26.44</v>
      </c>
      <c r="J160" s="10">
        <f>ROUND(H160*(I160/100+1),2)</f>
        <v>31.05</v>
      </c>
      <c r="K160" s="383">
        <v>0</v>
      </c>
      <c r="L160" s="474">
        <f>F160-K160</f>
        <v>36</v>
      </c>
      <c r="M160" s="471">
        <f t="shared" si="10"/>
        <v>1117.8</v>
      </c>
      <c r="N160" s="405"/>
      <c r="O160" s="541"/>
      <c r="P160" s="405"/>
      <c r="Q160" s="405"/>
      <c r="S160" s="344" t="str">
        <f t="shared" si="6"/>
        <v xml:space="preserve">ELETRODUTO DE FERRO GALVANIZADO, MÉDIO DE 1' - COM ACESSÓRIOS </v>
      </c>
    </row>
    <row r="161" spans="1:37" s="344" customFormat="1">
      <c r="A161" s="49" t="s">
        <v>165</v>
      </c>
      <c r="B161" s="49" t="str">
        <f>'[3]Plan Tron'!B55</f>
        <v xml:space="preserve">380410 </v>
      </c>
      <c r="C161" s="49" t="str">
        <f>'[3]Plan Tron'!C55</f>
        <v>CPOS</v>
      </c>
      <c r="D161" s="130" t="str">
        <f>'[3]Plan Tron'!D55</f>
        <v xml:space="preserve">ELETRODUTO DE FERRO GALVANIZADO, MÉDIO DE 1 1/2' - COM ACESSÓRIOS </v>
      </c>
      <c r="E161" s="18" t="str">
        <f>'[3]Plan Tron'!E55</f>
        <v>M</v>
      </c>
      <c r="F161" s="36">
        <v>33</v>
      </c>
      <c r="G161" s="10">
        <v>37.71</v>
      </c>
      <c r="H161" s="10">
        <f>'[3]Plan Tron'!F55</f>
        <v>34.200000000000003</v>
      </c>
      <c r="I161" s="10">
        <v>26.44</v>
      </c>
      <c r="J161" s="10">
        <f>ROUND(H161*(I161/100+1),2)</f>
        <v>43.24</v>
      </c>
      <c r="K161" s="383">
        <v>0</v>
      </c>
      <c r="L161" s="474">
        <f>F161-K161</f>
        <v>33</v>
      </c>
      <c r="M161" s="471">
        <f t="shared" si="10"/>
        <v>1426.92</v>
      </c>
      <c r="N161" s="405"/>
      <c r="O161" s="541"/>
      <c r="P161" s="405"/>
      <c r="Q161" s="405"/>
      <c r="S161" s="344" t="str">
        <f t="shared" si="6"/>
        <v xml:space="preserve">ELETRODUTO DE FERRO GALVANIZADO, MÉDIO DE 1 1/2' - COM ACESSÓRIOS </v>
      </c>
    </row>
    <row r="162" spans="1:37" s="344" customFormat="1">
      <c r="A162" s="49" t="s">
        <v>164</v>
      </c>
      <c r="B162" s="49" t="str">
        <f>'[3]Plan Tron'!B56</f>
        <v xml:space="preserve">380412 </v>
      </c>
      <c r="C162" s="49" t="str">
        <f>'[3]Plan Tron'!C56</f>
        <v>CPOS</v>
      </c>
      <c r="D162" s="130" t="str">
        <f>'[3]Plan Tron'!D56</f>
        <v xml:space="preserve">ELETRODUTO DE FERRO GALVANIZADO, MÉDIO DE 2' - COM ACESSÓRIOS </v>
      </c>
      <c r="E162" s="18" t="str">
        <f>'[3]Plan Tron'!E56</f>
        <v>M</v>
      </c>
      <c r="F162" s="36">
        <v>51</v>
      </c>
      <c r="G162" s="10">
        <v>43.79</v>
      </c>
      <c r="H162" s="10">
        <f>'[3]Plan Tron'!F56</f>
        <v>39.76</v>
      </c>
      <c r="I162" s="10">
        <v>26.44</v>
      </c>
      <c r="J162" s="10">
        <f>ROUND(H162*(I162/100+1),2)</f>
        <v>50.27</v>
      </c>
      <c r="K162" s="383">
        <v>0</v>
      </c>
      <c r="L162" s="474">
        <f>F162-K162</f>
        <v>51</v>
      </c>
      <c r="M162" s="471">
        <f t="shared" si="10"/>
        <v>2563.77</v>
      </c>
      <c r="N162" s="405"/>
      <c r="O162" s="541"/>
      <c r="P162" s="405"/>
      <c r="Q162" s="405"/>
      <c r="S162" s="344" t="str">
        <f t="shared" si="6"/>
        <v xml:space="preserve">ELETRODUTO DE FERRO GALVANIZADO, MÉDIO DE 2' - COM ACESSÓRIOS </v>
      </c>
    </row>
    <row r="163" spans="1:37" s="414" customFormat="1">
      <c r="A163" s="410" t="s">
        <v>12</v>
      </c>
      <c r="B163" s="428"/>
      <c r="C163" s="410"/>
      <c r="D163" s="429" t="s">
        <v>2092</v>
      </c>
      <c r="E163" s="617" t="s">
        <v>76</v>
      </c>
      <c r="F163" s="619"/>
      <c r="G163" s="413"/>
      <c r="H163" s="413"/>
      <c r="I163" s="413"/>
      <c r="J163" s="413"/>
      <c r="K163" s="498"/>
      <c r="L163" s="474"/>
      <c r="M163" s="471"/>
      <c r="N163" s="419"/>
      <c r="O163" s="541"/>
      <c r="P163" s="419"/>
      <c r="Q163" s="419"/>
      <c r="S163" s="414" t="str">
        <f t="shared" si="6"/>
        <v>ILUMINAÇÃO EXTERNA</v>
      </c>
    </row>
    <row r="164" spans="1:37" s="344" customFormat="1">
      <c r="A164" s="49" t="s">
        <v>162</v>
      </c>
      <c r="B164" s="50" t="str">
        <f>'[3]Plan Tron'!B58</f>
        <v xml:space="preserve">73769/004 </v>
      </c>
      <c r="C164" s="49" t="str">
        <f>'[3]Plan Tron'!C58</f>
        <v>SINAPI</v>
      </c>
      <c r="D164" s="130" t="str">
        <f>'[3]Plan Tron'!D58</f>
        <v>POSTE DE ACO CONICO CONTINUO RETO, FLANGEADO, H=9M - FORNECIMENTO E INSTALACAO</v>
      </c>
      <c r="E164" s="7" t="str">
        <f>'[3]Plan Tron'!E58</f>
        <v>PÇ.</v>
      </c>
      <c r="F164" s="27">
        <v>26</v>
      </c>
      <c r="G164" s="10">
        <v>1248.54</v>
      </c>
      <c r="H164" s="10">
        <f>'[3]Plan Tron'!F58</f>
        <v>1342.1</v>
      </c>
      <c r="I164" s="10">
        <v>26.44</v>
      </c>
      <c r="J164" s="10">
        <f>ROUND(H164*(I164/100+1),2)</f>
        <v>1696.95</v>
      </c>
      <c r="K164" s="383">
        <v>0</v>
      </c>
      <c r="L164" s="474">
        <f>F164-K164</f>
        <v>26</v>
      </c>
      <c r="M164" s="471">
        <f t="shared" si="10"/>
        <v>44120.7</v>
      </c>
      <c r="N164" s="405"/>
      <c r="O164" s="541"/>
      <c r="P164" s="405"/>
      <c r="Q164" s="405"/>
      <c r="S164" s="344" t="str">
        <f t="shared" si="6"/>
        <v>POSTE DE ACO CONICO CONTINUO RETO, FLANGEADO, H=9M - FORNECIMENTO E INSTALACAO</v>
      </c>
    </row>
    <row r="165" spans="1:37" s="414" customFormat="1">
      <c r="A165" s="410" t="s">
        <v>11</v>
      </c>
      <c r="B165" s="428"/>
      <c r="C165" s="410"/>
      <c r="D165" s="429" t="s">
        <v>2093</v>
      </c>
      <c r="E165" s="617" t="s">
        <v>76</v>
      </c>
      <c r="F165" s="619"/>
      <c r="G165" s="413"/>
      <c r="H165" s="413"/>
      <c r="I165" s="413"/>
      <c r="J165" s="413"/>
      <c r="K165" s="498"/>
      <c r="L165" s="474"/>
      <c r="M165" s="471"/>
      <c r="N165" s="419"/>
      <c r="O165" s="541"/>
      <c r="P165" s="419"/>
      <c r="Q165" s="419"/>
      <c r="S165" s="414" t="str">
        <f t="shared" si="6"/>
        <v>ATERRAMENTO GERAL</v>
      </c>
    </row>
    <row r="166" spans="1:37" s="344" customFormat="1">
      <c r="A166" s="49" t="s">
        <v>160</v>
      </c>
      <c r="B166" s="49">
        <f>'[3]Plan Tron'!B63</f>
        <v>72254</v>
      </c>
      <c r="C166" s="49" t="str">
        <f>'[3]Plan Tron'!C63</f>
        <v>SINAPI</v>
      </c>
      <c r="D166" s="130" t="str">
        <f>'[3]Plan Tron'!D63</f>
        <v>CABO DE COBRE NU, SEÇÃO 50 MM², ENCORDOAMENTO CLASSE 2.</v>
      </c>
      <c r="E166" s="7" t="str">
        <f>'[3]Plan Tron'!E63</f>
        <v>M</v>
      </c>
      <c r="F166" s="27">
        <v>650</v>
      </c>
      <c r="G166" s="10">
        <v>22.41</v>
      </c>
      <c r="H166" s="10">
        <f>'[3]Plan Tron'!F63</f>
        <v>31.11</v>
      </c>
      <c r="I166" s="10">
        <v>26.44</v>
      </c>
      <c r="J166" s="10">
        <f>ROUND(H165*(I166/100+1),2)</f>
        <v>0</v>
      </c>
      <c r="K166" s="383">
        <v>0</v>
      </c>
      <c r="L166" s="474">
        <f>F166-K166</f>
        <v>650</v>
      </c>
      <c r="M166" s="471">
        <f t="shared" si="10"/>
        <v>0</v>
      </c>
      <c r="N166" s="405"/>
      <c r="O166" s="541"/>
      <c r="P166" s="405"/>
      <c r="Q166" s="405"/>
      <c r="S166" s="344" t="str">
        <f t="shared" si="6"/>
        <v>CABO DE COBRE NU, SEÇÃO 50 MM², ENCORDOAMENTO CLASSE 2.</v>
      </c>
    </row>
    <row r="167" spans="1:37" s="344" customFormat="1">
      <c r="A167" s="49" t="s">
        <v>159</v>
      </c>
      <c r="B167" s="49">
        <f>'[3]Plan Tron'!B60</f>
        <v>83484</v>
      </c>
      <c r="C167" s="49" t="str">
        <f>'[3]Plan Tron'!C60</f>
        <v>SINAPI</v>
      </c>
      <c r="D167" s="130" t="str">
        <f>'[3]Plan Tron'!D60</f>
        <v>HASTE DE ATERRAMENTO DE AÇO COBREADO Ø3/4"X3,0M.</v>
      </c>
      <c r="E167" s="7" t="str">
        <f>'[3]Plan Tron'!E60</f>
        <v>PÇ.</v>
      </c>
      <c r="F167" s="27">
        <v>26</v>
      </c>
      <c r="G167" s="10">
        <v>47.99</v>
      </c>
      <c r="H167" s="10">
        <f>'[3]Plan Tron'!F60</f>
        <v>61.62</v>
      </c>
      <c r="I167" s="10">
        <v>26.44</v>
      </c>
      <c r="J167" s="10">
        <f>ROUND(H167*(I167/100+1),2)</f>
        <v>77.91</v>
      </c>
      <c r="K167" s="383">
        <v>0</v>
      </c>
      <c r="L167" s="474">
        <f>F167-K167</f>
        <v>26</v>
      </c>
      <c r="M167" s="471">
        <f t="shared" si="10"/>
        <v>2025.66</v>
      </c>
      <c r="N167" s="405"/>
      <c r="O167" s="541"/>
      <c r="P167" s="405"/>
      <c r="Q167" s="405"/>
      <c r="S167" s="344" t="str">
        <f t="shared" si="6"/>
        <v>HASTE DE ATERRAMENTO DE AÇO COBREADO Ø3/4"X3,0M.</v>
      </c>
    </row>
    <row r="168" spans="1:37">
      <c r="A168" s="49"/>
      <c r="B168" s="57"/>
      <c r="C168" s="49"/>
      <c r="D168" s="17"/>
      <c r="E168" s="7"/>
      <c r="F168" s="27"/>
      <c r="G168" s="312"/>
      <c r="H168" s="9"/>
      <c r="I168" s="9"/>
      <c r="J168" s="9"/>
      <c r="K168" s="17"/>
      <c r="L168" s="474"/>
      <c r="M168" s="472"/>
      <c r="N168" s="405"/>
      <c r="O168" s="541"/>
      <c r="P168" s="405"/>
      <c r="Q168" s="405"/>
    </row>
    <row r="169" spans="1:37" s="344" customFormat="1">
      <c r="A169" s="49"/>
      <c r="B169" s="57"/>
      <c r="C169" s="49"/>
      <c r="D169" s="339"/>
      <c r="E169" s="7"/>
      <c r="F169" s="27"/>
      <c r="G169" s="9"/>
      <c r="H169" s="9"/>
      <c r="I169" s="9"/>
      <c r="J169" s="9"/>
      <c r="K169" s="17"/>
      <c r="L169" s="474"/>
      <c r="M169" s="472"/>
      <c r="N169" s="405"/>
      <c r="O169" s="541"/>
      <c r="P169" s="405"/>
      <c r="Q169" s="405"/>
    </row>
    <row r="170" spans="1:37" s="299" customFormat="1">
      <c r="A170" s="297"/>
      <c r="B170" s="298"/>
      <c r="C170" s="298"/>
      <c r="D170" s="517" t="s">
        <v>2350</v>
      </c>
      <c r="E170" s="297"/>
      <c r="F170" s="503"/>
      <c r="G170" s="502"/>
      <c r="H170" s="502"/>
      <c r="I170" s="298"/>
      <c r="J170" s="298"/>
      <c r="K170" s="504"/>
      <c r="L170" s="476"/>
      <c r="M170" s="505">
        <f>SUM(M137:M168)</f>
        <v>257749.70000000004</v>
      </c>
      <c r="N170" s="405"/>
      <c r="O170" s="541"/>
      <c r="P170" s="405"/>
      <c r="Q170" s="405"/>
      <c r="R170" s="388"/>
      <c r="S170" s="344" t="str">
        <f>UPPER(D170)</f>
        <v>TOTAL ITEM 2</v>
      </c>
      <c r="T170" s="388"/>
      <c r="U170" s="388"/>
      <c r="V170" s="388"/>
      <c r="W170" s="388"/>
      <c r="X170" s="388"/>
      <c r="Y170" s="388"/>
      <c r="Z170" s="388"/>
      <c r="AA170" s="388"/>
      <c r="AB170" s="388"/>
      <c r="AC170" s="388"/>
      <c r="AD170" s="388"/>
      <c r="AE170" s="388"/>
      <c r="AF170" s="388"/>
      <c r="AG170" s="388"/>
      <c r="AH170" s="388"/>
      <c r="AI170" s="388"/>
      <c r="AJ170" s="388"/>
      <c r="AK170" s="388"/>
    </row>
    <row r="171" spans="1:37" s="299" customFormat="1">
      <c r="A171" s="297"/>
      <c r="B171" s="298"/>
      <c r="C171" s="298"/>
      <c r="D171" s="441"/>
      <c r="E171" s="297"/>
      <c r="F171" s="298"/>
      <c r="G171" s="301"/>
      <c r="H171" s="338"/>
      <c r="I171" s="298"/>
      <c r="J171" s="298"/>
      <c r="K171" s="500"/>
      <c r="L171" s="474"/>
      <c r="M171" s="471"/>
      <c r="N171" s="405"/>
      <c r="O171" s="541"/>
      <c r="P171" s="405"/>
      <c r="Q171" s="405"/>
      <c r="R171" s="388"/>
      <c r="S171" s="344"/>
      <c r="T171" s="388"/>
      <c r="U171" s="388"/>
      <c r="V171" s="388"/>
      <c r="W171" s="388"/>
      <c r="X171" s="388"/>
      <c r="Y171" s="388"/>
      <c r="Z171" s="388"/>
      <c r="AA171" s="388"/>
      <c r="AB171" s="388"/>
      <c r="AC171" s="388"/>
      <c r="AD171" s="388"/>
      <c r="AE171" s="388"/>
      <c r="AF171" s="388"/>
      <c r="AG171" s="388"/>
      <c r="AH171" s="388"/>
      <c r="AI171" s="388"/>
      <c r="AJ171" s="388"/>
      <c r="AK171" s="388"/>
    </row>
    <row r="172" spans="1:37" s="450" customFormat="1">
      <c r="A172" s="445">
        <v>4</v>
      </c>
      <c r="B172" s="446"/>
      <c r="C172" s="447"/>
      <c r="D172" s="448" t="s">
        <v>1953</v>
      </c>
      <c r="E172" s="453" t="s">
        <v>76</v>
      </c>
      <c r="F172" s="446"/>
      <c r="G172" s="446"/>
      <c r="H172" s="446"/>
      <c r="I172" s="446"/>
      <c r="J172" s="446"/>
      <c r="K172" s="473"/>
      <c r="L172" s="478"/>
      <c r="M172" s="479"/>
      <c r="N172" s="454"/>
      <c r="O172" s="541"/>
      <c r="P172" s="454"/>
      <c r="Q172" s="454"/>
      <c r="S172" s="450" t="str">
        <f t="shared" ref="S172:S187" si="13">UPPER(D172)</f>
        <v>POSTE DE ENTRADA</v>
      </c>
    </row>
    <row r="173" spans="1:37">
      <c r="A173" s="296"/>
      <c r="B173" s="44"/>
      <c r="C173" s="44"/>
      <c r="D173" s="438" t="s">
        <v>76</v>
      </c>
      <c r="E173" s="296" t="s">
        <v>76</v>
      </c>
      <c r="F173" s="44"/>
      <c r="G173" s="302"/>
      <c r="H173" s="339"/>
      <c r="I173" s="44"/>
      <c r="J173" s="44"/>
      <c r="K173" s="383"/>
      <c r="L173" s="474"/>
      <c r="M173" s="471"/>
      <c r="N173" s="405"/>
      <c r="O173" s="541"/>
      <c r="P173" s="405"/>
      <c r="Q173" s="405"/>
      <c r="S173" s="344" t="str">
        <f t="shared" si="13"/>
        <v/>
      </c>
    </row>
    <row r="174" spans="1:37" s="344" customFormat="1">
      <c r="A174" s="45">
        <v>1</v>
      </c>
      <c r="B174" s="57"/>
      <c r="C174" s="45"/>
      <c r="D174" s="53" t="s">
        <v>2094</v>
      </c>
      <c r="E174" s="47" t="s">
        <v>76</v>
      </c>
      <c r="F174" s="48"/>
      <c r="G174" s="9"/>
      <c r="H174" s="9"/>
      <c r="I174" s="9"/>
      <c r="J174" s="9"/>
      <c r="K174" s="383"/>
      <c r="L174" s="474"/>
      <c r="M174" s="471"/>
      <c r="N174" s="405"/>
      <c r="O174" s="541"/>
      <c r="P174" s="405"/>
      <c r="Q174" s="405"/>
      <c r="S174" s="344" t="str">
        <f t="shared" si="13"/>
        <v>MONTAGEM DE MATERIAIS E EQUIPAMENTOS ELÉTRICOS, DE AUTOMAÇÃO E DIVERSOS - POSTE DE ENTRADA</v>
      </c>
    </row>
    <row r="175" spans="1:37" s="344" customFormat="1" ht="25.5" hidden="1">
      <c r="A175" s="49" t="s">
        <v>19</v>
      </c>
      <c r="B175" s="50" t="s">
        <v>251</v>
      </c>
      <c r="C175" s="49"/>
      <c r="D175" s="130" t="s">
        <v>2095</v>
      </c>
      <c r="E175" s="7" t="s">
        <v>2337</v>
      </c>
      <c r="F175" s="21">
        <v>1</v>
      </c>
      <c r="G175" s="10">
        <v>325.81</v>
      </c>
      <c r="H175" s="9">
        <f t="shared" ref="H175:H176" si="14">G175*$P$7</f>
        <v>376.40829300000001</v>
      </c>
      <c r="I175" s="10">
        <v>26.44</v>
      </c>
      <c r="J175" s="10">
        <f>ROUND(H175*(I175/100+1),2)</f>
        <v>475.93</v>
      </c>
      <c r="K175" s="474">
        <v>1</v>
      </c>
      <c r="L175" s="474">
        <f>F175-K175</f>
        <v>0</v>
      </c>
      <c r="M175" s="471">
        <f>ROUND(L175*J175,2)</f>
        <v>0</v>
      </c>
      <c r="N175" s="405"/>
      <c r="O175" s="541"/>
      <c r="P175" s="405"/>
      <c r="Q175" s="405"/>
      <c r="S175" s="344" t="str">
        <f t="shared" si="13"/>
        <v>ASSENTAMENTO DO POSTE DE ENTRADA DE ENERGIA, COM CONSTRUÇÃO DE SAPATA DE CONCRETO, CONFORME COMPOSIÇÃO EM ANEXO.</v>
      </c>
    </row>
    <row r="176" spans="1:37" s="344" customFormat="1" ht="25.5">
      <c r="A176" s="49" t="s">
        <v>17</v>
      </c>
      <c r="B176" s="50" t="s">
        <v>250</v>
      </c>
      <c r="C176" s="49"/>
      <c r="D176" s="130" t="s">
        <v>2096</v>
      </c>
      <c r="E176" s="7" t="s">
        <v>2337</v>
      </c>
      <c r="F176" s="21">
        <v>1</v>
      </c>
      <c r="G176" s="10">
        <v>2179.6800000000003</v>
      </c>
      <c r="H176" s="9">
        <f t="shared" si="14"/>
        <v>2518.1843040000003</v>
      </c>
      <c r="I176" s="10">
        <v>26.44</v>
      </c>
      <c r="J176" s="10">
        <f>ROUND(H176*(I176/100+1),2)</f>
        <v>3183.99</v>
      </c>
      <c r="K176" s="474">
        <v>0.5</v>
      </c>
      <c r="L176" s="474">
        <f>F176-K176</f>
        <v>0.5</v>
      </c>
      <c r="M176" s="471">
        <f t="shared" ref="M176:M187" si="15">ROUND(L176*J176,2)</f>
        <v>1592</v>
      </c>
      <c r="N176" s="405"/>
      <c r="O176" s="541"/>
      <c r="P176" s="405"/>
      <c r="Q176" s="405"/>
      <c r="S176" s="344" t="str">
        <f t="shared" si="13"/>
        <v>MONTAGEM DE MATERIAIS E QUIPAMENTOS ELÉTRICOS DE MÉDIA E BAIXA TENSÃO, CONFORME COMPOSIÇÃO EM ANEXO.</v>
      </c>
    </row>
    <row r="177" spans="1:19" s="344" customFormat="1">
      <c r="A177" s="49" t="s">
        <v>16</v>
      </c>
      <c r="B177" s="50">
        <f>'[3]Plan Tron'!B186</f>
        <v>83450</v>
      </c>
      <c r="C177" s="49" t="str">
        <f>'[3]Plan Tron'!C186</f>
        <v>SINAPI</v>
      </c>
      <c r="D177" s="612" t="str">
        <f>'[3]Plan Tron'!D186</f>
        <v xml:space="preserve">CAIXA DE PASSAGEM 80X80X62 FUNDO BRITA COM TAMPA </v>
      </c>
      <c r="E177" s="49" t="str">
        <f>'[3]Plan Tron'!E186</f>
        <v>UN.</v>
      </c>
      <c r="F177" s="21">
        <v>1</v>
      </c>
      <c r="G177" s="10">
        <v>361.64999999999992</v>
      </c>
      <c r="H177" s="10">
        <f>'[3]Plan Tron'!F186</f>
        <v>400.15</v>
      </c>
      <c r="I177" s="10">
        <v>26.44</v>
      </c>
      <c r="J177" s="10">
        <f>ROUND(H177*(I177/100+1),2)</f>
        <v>505.95</v>
      </c>
      <c r="K177" s="474">
        <v>0</v>
      </c>
      <c r="L177" s="474">
        <f>F177-K177</f>
        <v>1</v>
      </c>
      <c r="M177" s="471">
        <f t="shared" si="15"/>
        <v>505.95</v>
      </c>
      <c r="N177" s="405"/>
      <c r="O177" s="541"/>
      <c r="P177" s="405"/>
      <c r="Q177" s="405"/>
      <c r="S177" s="344" t="str">
        <f t="shared" si="13"/>
        <v xml:space="preserve">CAIXA DE PASSAGEM 80X80X62 FUNDO BRITA COM TAMPA </v>
      </c>
    </row>
    <row r="178" spans="1:19" s="414" customFormat="1" hidden="1">
      <c r="A178" s="410" t="s">
        <v>15</v>
      </c>
      <c r="B178" s="763"/>
      <c r="C178" s="410"/>
      <c r="D178" s="429" t="s">
        <v>2097</v>
      </c>
      <c r="E178" s="617" t="s">
        <v>76</v>
      </c>
      <c r="F178" s="619"/>
      <c r="G178" s="412"/>
      <c r="H178" s="412"/>
      <c r="I178" s="413"/>
      <c r="J178" s="413"/>
      <c r="K178" s="498"/>
      <c r="L178" s="474"/>
      <c r="M178" s="471"/>
      <c r="N178" s="419"/>
      <c r="O178" s="541"/>
      <c r="P178" s="419"/>
      <c r="Q178" s="419"/>
      <c r="S178" s="414" t="str">
        <f t="shared" si="13"/>
        <v>EQUIPAMENTOS DE MÉDIA TENSÃO</v>
      </c>
    </row>
    <row r="179" spans="1:19" s="344" customFormat="1" ht="25.5" hidden="1">
      <c r="A179" s="49" t="s">
        <v>249</v>
      </c>
      <c r="B179" s="50" t="str">
        <f>'[3]Plan Tron'!B61</f>
        <v>73857/005</v>
      </c>
      <c r="C179" s="49" t="str">
        <f>'[3]Plan Tron'!C61</f>
        <v>SINAPI</v>
      </c>
      <c r="D179" s="130" t="str">
        <f>'[3]Plan Tron'!D61</f>
        <v>TRANSFORMADOR DISTRIBUICAO 300KVA TRIFASICO 60HZ CLASSE 15KV IMERSO EM ÓLEO MINERAL FORNECIMENTO E INSTALACAO</v>
      </c>
      <c r="E179" s="7" t="str">
        <f>'[3]Plan Tron'!E61</f>
        <v>PÇ</v>
      </c>
      <c r="F179" s="27">
        <v>1</v>
      </c>
      <c r="G179" s="9">
        <v>17627.25</v>
      </c>
      <c r="H179" s="9">
        <f>'[3]Plan Tron'!F61</f>
        <v>16350.61</v>
      </c>
      <c r="I179" s="10">
        <v>26.44</v>
      </c>
      <c r="J179" s="10">
        <f>ROUND(H179*(I179/100+1),2)</f>
        <v>20673.71</v>
      </c>
      <c r="K179" s="474">
        <v>1</v>
      </c>
      <c r="L179" s="474">
        <f>F179-K179</f>
        <v>0</v>
      </c>
      <c r="M179" s="471">
        <f t="shared" si="15"/>
        <v>0</v>
      </c>
      <c r="N179" s="405"/>
      <c r="O179" s="541"/>
      <c r="P179" s="405"/>
      <c r="Q179" s="405"/>
      <c r="S179" s="344" t="str">
        <f t="shared" si="13"/>
        <v>TRANSFORMADOR DISTRIBUICAO 300KVA TRIFASICO 60HZ CLASSE 15KV IMERSO EM ÓLEO MINERAL FORNECIMENTO E INSTALACAO</v>
      </c>
    </row>
    <row r="180" spans="1:19" s="414" customFormat="1">
      <c r="A180" s="410" t="s">
        <v>14</v>
      </c>
      <c r="B180" s="428"/>
      <c r="C180" s="410"/>
      <c r="D180" s="429" t="s">
        <v>2098</v>
      </c>
      <c r="E180" s="617" t="s">
        <v>76</v>
      </c>
      <c r="F180" s="619"/>
      <c r="G180" s="412"/>
      <c r="H180" s="412"/>
      <c r="I180" s="413"/>
      <c r="J180" s="413"/>
      <c r="K180" s="498"/>
      <c r="L180" s="474"/>
      <c r="M180" s="471"/>
      <c r="N180" s="419"/>
      <c r="O180" s="541"/>
      <c r="P180" s="419"/>
      <c r="Q180" s="419"/>
      <c r="S180" s="414" t="str">
        <f t="shared" si="13"/>
        <v>MATERIAIS ELÉTRICOS DE BAIXA TENSÃO</v>
      </c>
    </row>
    <row r="181" spans="1:19" s="344" customFormat="1" ht="25.5">
      <c r="A181" s="49" t="s">
        <v>181</v>
      </c>
      <c r="B181" s="49">
        <f>'[3]Plan Tron'!B49</f>
        <v>92990</v>
      </c>
      <c r="C181" s="49" t="str">
        <f>'[3]Plan Tron'!C49</f>
        <v>SINAPI</v>
      </c>
      <c r="D181" s="130" t="str">
        <f>'[3]Plan Tron'!D49</f>
        <v>CABO DE COBRE FLEXÍVEL ISOLADO, 70 MM², ANTI-CHAMA 0,6/1,0 KV, PARA DISTRIBUIÇÃO - FORNECIMENTO E INSTALAÇÃO. AF_12/2015</v>
      </c>
      <c r="E181" s="77" t="str">
        <f>'[3]Plan Tron'!E49</f>
        <v>M</v>
      </c>
      <c r="F181" s="36">
        <v>30</v>
      </c>
      <c r="G181" s="10">
        <v>32.44</v>
      </c>
      <c r="H181" s="10">
        <f>'[3]Plan Tron'!F49</f>
        <v>33.43</v>
      </c>
      <c r="I181" s="10">
        <v>26.44</v>
      </c>
      <c r="J181" s="10">
        <f>ROUND(H181*(I181/100+1),2)</f>
        <v>42.27</v>
      </c>
      <c r="K181" s="474">
        <v>0</v>
      </c>
      <c r="L181" s="474">
        <f>F181-K181</f>
        <v>30</v>
      </c>
      <c r="M181" s="471">
        <f t="shared" si="15"/>
        <v>1268.0999999999999</v>
      </c>
      <c r="N181" s="405"/>
      <c r="O181" s="541"/>
      <c r="P181" s="405"/>
      <c r="Q181" s="405"/>
      <c r="S181" s="344" t="str">
        <f t="shared" si="13"/>
        <v>CABO DE COBRE FLEXÍVEL ISOLADO, 70 MM², ANTI-CHAMA 0,6/1,0 KV, PARA DISTRIBUIÇÃO - FORNECIMENTO E INSTALAÇÃO. AF_12/2015</v>
      </c>
    </row>
    <row r="182" spans="1:19" s="344" customFormat="1" ht="25.5">
      <c r="A182" s="49" t="s">
        <v>180</v>
      </c>
      <c r="B182" s="49">
        <f>'[3]Plan Tron'!B52</f>
        <v>92994</v>
      </c>
      <c r="C182" s="49" t="str">
        <f>'[3]Plan Tron'!C52</f>
        <v>SINAPI</v>
      </c>
      <c r="D182" s="130" t="str">
        <f>'[3]Plan Tron'!D52</f>
        <v>CABO DE COBRE FLEXÍVEL ISOLADO, 120 MM², ANTI-CHAMA 0,6/1,0 KV, PARA DISTRIBUIÇÃO - FORNECIMENTO E INSTALAÇÃO. AF_12/2015COR PRETA.</v>
      </c>
      <c r="E182" s="672" t="str">
        <f>'[3]Plan Tron'!E52</f>
        <v>M</v>
      </c>
      <c r="F182" s="36">
        <v>90</v>
      </c>
      <c r="G182" s="9">
        <v>51.29</v>
      </c>
      <c r="H182" s="9">
        <f>'[3]Plan Tron'!F52</f>
        <v>56.65</v>
      </c>
      <c r="I182" s="10">
        <v>26.44</v>
      </c>
      <c r="J182" s="10">
        <f>ROUND(H182*(I182/100+1),2)</f>
        <v>71.63</v>
      </c>
      <c r="K182" s="474">
        <v>0</v>
      </c>
      <c r="L182" s="474">
        <f>F182-K182</f>
        <v>90</v>
      </c>
      <c r="M182" s="471">
        <f t="shared" si="15"/>
        <v>6446.7</v>
      </c>
      <c r="N182" s="405"/>
      <c r="O182" s="541"/>
      <c r="P182" s="405"/>
      <c r="Q182" s="405"/>
      <c r="S182" s="344" t="str">
        <f t="shared" si="13"/>
        <v>CABO DE COBRE FLEXÍVEL ISOLADO, 120 MM², ANTI-CHAMA 0,6/1,0 KV, PARA DISTRIBUIÇÃO - FORNECIMENTO E INSTALAÇÃO. AF_12/2015COR PRETA.</v>
      </c>
    </row>
    <row r="183" spans="1:19" s="344" customFormat="1">
      <c r="A183" s="49" t="s">
        <v>179</v>
      </c>
      <c r="B183" s="49" t="str">
        <f>'[3]Plan Tron'!B57</f>
        <v xml:space="preserve">93012 </v>
      </c>
      <c r="C183" s="49" t="str">
        <f>'[3]Plan Tron'!C57</f>
        <v>SINAPI</v>
      </c>
      <c r="D183" s="614" t="str">
        <f>'[3]Plan Tron'!D57</f>
        <v>ELETRODUTO RÍGIDO ROSCÁVEL, PVC, DN 110 MM (4") - FORNECIMENTO E INSTALAÇÃO. AF_12/2015</v>
      </c>
      <c r="E183" s="18" t="str">
        <f>'[3]Plan Tron'!E57</f>
        <v>M</v>
      </c>
      <c r="F183" s="36">
        <v>6</v>
      </c>
      <c r="G183" s="9">
        <v>47.24</v>
      </c>
      <c r="H183" s="9">
        <f>'[3]Plan Tron'!F57</f>
        <v>32.75</v>
      </c>
      <c r="I183" s="10">
        <v>26.44</v>
      </c>
      <c r="J183" s="10">
        <f>ROUND(H183*(I183/100+1),2)</f>
        <v>41.41</v>
      </c>
      <c r="K183" s="474">
        <v>6</v>
      </c>
      <c r="L183" s="474">
        <f>F183-K183</f>
        <v>0</v>
      </c>
      <c r="M183" s="471"/>
      <c r="N183" s="405"/>
      <c r="O183" s="541"/>
      <c r="P183" s="405"/>
      <c r="Q183" s="405"/>
      <c r="S183" s="344" t="str">
        <f t="shared" si="13"/>
        <v>ELETRODUTO RÍGIDO ROSCÁVEL, PVC, DN 110 MM (4") - FORNECIMENTO E INSTALAÇÃO. AF_12/2015</v>
      </c>
    </row>
    <row r="184" spans="1:19" s="414" customFormat="1">
      <c r="A184" s="410" t="s">
        <v>13</v>
      </c>
      <c r="B184" s="411"/>
      <c r="C184" s="410"/>
      <c r="D184" s="429" t="s">
        <v>2099</v>
      </c>
      <c r="E184" s="617" t="s">
        <v>76</v>
      </c>
      <c r="F184" s="619"/>
      <c r="G184" s="412"/>
      <c r="H184" s="412"/>
      <c r="I184" s="413"/>
      <c r="J184" s="413"/>
      <c r="K184" s="498"/>
      <c r="L184" s="474"/>
      <c r="M184" s="471"/>
      <c r="N184" s="419"/>
      <c r="O184" s="541"/>
      <c r="P184" s="419"/>
      <c r="Q184" s="419"/>
      <c r="S184" s="414" t="str">
        <f t="shared" si="13"/>
        <v>ATERRAMENTO</v>
      </c>
    </row>
    <row r="185" spans="1:19" s="344" customFormat="1">
      <c r="A185" s="49" t="s">
        <v>167</v>
      </c>
      <c r="B185" s="49">
        <f>'[3]Plan Tron'!B62</f>
        <v>72252</v>
      </c>
      <c r="C185" s="49" t="str">
        <f>'[3]Plan Tron'!C62</f>
        <v>SINAPI</v>
      </c>
      <c r="D185" s="130" t="str">
        <f>'[3]Plan Tron'!D62</f>
        <v>CABO DE COBRE NU, MEIO DURO #25MM²</v>
      </c>
      <c r="E185" s="18" t="str">
        <f>'[3]Plan Tron'!E62</f>
        <v>M</v>
      </c>
      <c r="F185" s="36">
        <v>10</v>
      </c>
      <c r="G185" s="9">
        <v>13.05</v>
      </c>
      <c r="H185" s="9">
        <f>'[3]Plan Tron'!F62</f>
        <v>16.489999999999998</v>
      </c>
      <c r="I185" s="10">
        <v>26.44</v>
      </c>
      <c r="J185" s="10">
        <f>ROUND(H185*(I185/100+1),2)</f>
        <v>20.85</v>
      </c>
      <c r="K185" s="474">
        <v>0</v>
      </c>
      <c r="L185" s="474">
        <f>F185-K185</f>
        <v>10</v>
      </c>
      <c r="M185" s="471">
        <f t="shared" si="15"/>
        <v>208.5</v>
      </c>
      <c r="N185" s="405"/>
      <c r="O185" s="541"/>
      <c r="P185" s="405"/>
      <c r="Q185" s="405"/>
      <c r="S185" s="344" t="str">
        <f t="shared" si="13"/>
        <v>CABO DE COBRE NU, MEIO DURO #25MM²</v>
      </c>
    </row>
    <row r="186" spans="1:19" s="344" customFormat="1">
      <c r="A186" s="49" t="s">
        <v>166</v>
      </c>
      <c r="B186" s="49">
        <f>B166</f>
        <v>72254</v>
      </c>
      <c r="C186" s="49" t="str">
        <f>C166</f>
        <v>SINAPI</v>
      </c>
      <c r="D186" s="63" t="str">
        <f>D166</f>
        <v>CABO DE COBRE NU, SEÇÃO 50 MM², ENCORDOAMENTO CLASSE 2.</v>
      </c>
      <c r="E186" s="7" t="str">
        <f>E166</f>
        <v>M</v>
      </c>
      <c r="F186" s="27">
        <v>30</v>
      </c>
      <c r="G186" s="9">
        <v>22.41</v>
      </c>
      <c r="H186" s="9">
        <f>H166</f>
        <v>31.11</v>
      </c>
      <c r="I186" s="10">
        <v>26.44</v>
      </c>
      <c r="J186" s="10">
        <f>ROUND(H186*(I186/100+1),2)</f>
        <v>39.340000000000003</v>
      </c>
      <c r="K186" s="474">
        <v>0</v>
      </c>
      <c r="L186" s="474">
        <f>F186-K186</f>
        <v>30</v>
      </c>
      <c r="M186" s="471">
        <f t="shared" si="15"/>
        <v>1180.2</v>
      </c>
      <c r="N186" s="405"/>
      <c r="O186" s="541"/>
      <c r="P186" s="405"/>
      <c r="Q186" s="405"/>
      <c r="S186" s="344" t="str">
        <f t="shared" si="13"/>
        <v>CABO DE COBRE NU, SEÇÃO 50 MM², ENCORDOAMENTO CLASSE 2.</v>
      </c>
    </row>
    <row r="187" spans="1:19" s="344" customFormat="1">
      <c r="A187" s="49" t="s">
        <v>165</v>
      </c>
      <c r="B187" s="11" t="s">
        <v>2405</v>
      </c>
      <c r="C187" s="49" t="str">
        <f>C167</f>
        <v>SINAPI</v>
      </c>
      <c r="D187" s="63" t="str">
        <f>D167</f>
        <v>HASTE DE ATERRAMENTO DE AÇO COBREADO Ø3/4"X3,0M.</v>
      </c>
      <c r="E187" s="7" t="str">
        <f>E167</f>
        <v>PÇ.</v>
      </c>
      <c r="F187" s="27">
        <v>8</v>
      </c>
      <c r="G187" s="9">
        <v>47.99</v>
      </c>
      <c r="H187" s="9">
        <f>H167</f>
        <v>61.62</v>
      </c>
      <c r="I187" s="10">
        <v>26.44</v>
      </c>
      <c r="J187" s="10">
        <f>ROUND(H187*(I187/100+1),2)</f>
        <v>77.91</v>
      </c>
      <c r="K187" s="474">
        <v>0</v>
      </c>
      <c r="L187" s="474">
        <f>F187-K187</f>
        <v>8</v>
      </c>
      <c r="M187" s="471">
        <f t="shared" si="15"/>
        <v>623.28</v>
      </c>
      <c r="N187" s="405"/>
      <c r="O187" s="541"/>
      <c r="P187" s="405"/>
      <c r="Q187" s="405"/>
      <c r="S187" s="344" t="str">
        <f t="shared" si="13"/>
        <v>HASTE DE ATERRAMENTO DE AÇO COBREADO Ø3/4"X3,0M.</v>
      </c>
    </row>
    <row r="188" spans="1:19">
      <c r="A188" s="49"/>
      <c r="B188" s="57"/>
      <c r="C188" s="49"/>
      <c r="D188" s="17"/>
      <c r="E188" s="7"/>
      <c r="F188" s="27"/>
      <c r="G188" s="312"/>
      <c r="H188" s="9"/>
      <c r="I188" s="9"/>
      <c r="J188" s="9"/>
      <c r="K188" s="17"/>
      <c r="L188" s="507"/>
      <c r="M188" s="472"/>
      <c r="N188" s="405"/>
      <c r="O188" s="541"/>
      <c r="P188" s="405"/>
      <c r="Q188" s="405"/>
    </row>
    <row r="189" spans="1:19">
      <c r="A189" s="296"/>
      <c r="B189" s="44"/>
      <c r="C189" s="44"/>
      <c r="D189" s="462"/>
      <c r="E189" s="296"/>
      <c r="F189" s="44"/>
      <c r="G189" s="302"/>
      <c r="H189" s="339"/>
      <c r="I189" s="44"/>
      <c r="J189" s="44"/>
      <c r="K189" s="499"/>
      <c r="L189" s="474"/>
      <c r="M189" s="471"/>
      <c r="N189" s="405"/>
      <c r="O189" s="541"/>
      <c r="P189" s="405"/>
      <c r="Q189" s="405"/>
      <c r="S189" s="344" t="str">
        <f>UPPER(D189)</f>
        <v/>
      </c>
    </row>
    <row r="190" spans="1:19">
      <c r="A190" s="296"/>
      <c r="B190" s="44"/>
      <c r="C190" s="44"/>
      <c r="D190" s="517" t="s">
        <v>2351</v>
      </c>
      <c r="E190" s="296"/>
      <c r="F190" s="44"/>
      <c r="G190" s="302"/>
      <c r="H190" s="339"/>
      <c r="I190" s="44"/>
      <c r="J190" s="44"/>
      <c r="K190" s="517"/>
      <c r="L190" s="508"/>
      <c r="M190" s="505">
        <f>SUM(M175:M188)</f>
        <v>11824.730000000001</v>
      </c>
      <c r="N190" s="405"/>
      <c r="O190" s="541"/>
      <c r="P190" s="405"/>
      <c r="Q190" s="405"/>
    </row>
    <row r="191" spans="1:19">
      <c r="A191" s="296"/>
      <c r="B191" s="44"/>
      <c r="C191" s="44"/>
      <c r="D191" s="442"/>
      <c r="E191" s="296"/>
      <c r="F191" s="44"/>
      <c r="G191" s="302"/>
      <c r="H191" s="339"/>
      <c r="I191" s="44"/>
      <c r="J191" s="44"/>
      <c r="K191" s="499"/>
      <c r="L191" s="474"/>
      <c r="M191" s="471"/>
      <c r="N191" s="405"/>
      <c r="O191" s="541"/>
      <c r="P191" s="405"/>
      <c r="Q191" s="405"/>
    </row>
    <row r="192" spans="1:19" s="450" customFormat="1">
      <c r="A192" s="445">
        <v>6</v>
      </c>
      <c r="B192" s="446"/>
      <c r="C192" s="447"/>
      <c r="D192" s="448" t="s">
        <v>1958</v>
      </c>
      <c r="E192" s="453" t="s">
        <v>76</v>
      </c>
      <c r="F192" s="446"/>
      <c r="G192" s="446"/>
      <c r="H192" s="446"/>
      <c r="I192" s="446"/>
      <c r="J192" s="446"/>
      <c r="K192" s="473"/>
      <c r="L192" s="478"/>
      <c r="M192" s="479"/>
      <c r="N192" s="454"/>
      <c r="O192" s="541"/>
      <c r="P192" s="454"/>
      <c r="Q192" s="454"/>
      <c r="S192" s="450" t="str">
        <f t="shared" ref="S192:S203" si="16">UPPER(D192)</f>
        <v xml:space="preserve">CAIXA DO MEDIDOR DE VAZÃO ELETROMAGNÉTICO </v>
      </c>
    </row>
    <row r="193" spans="1:19" s="344" customFormat="1">
      <c r="A193" s="45">
        <v>1</v>
      </c>
      <c r="B193" s="25"/>
      <c r="C193" s="45"/>
      <c r="D193" s="397" t="s">
        <v>2038</v>
      </c>
      <c r="E193" s="24" t="s">
        <v>76</v>
      </c>
      <c r="F193" s="21"/>
      <c r="G193" s="10"/>
      <c r="H193" s="10"/>
      <c r="I193" s="10"/>
      <c r="J193" s="10"/>
      <c r="K193" s="383"/>
      <c r="L193" s="474"/>
      <c r="M193" s="471"/>
      <c r="N193" s="405"/>
      <c r="O193" s="541"/>
      <c r="P193" s="405"/>
      <c r="Q193" s="405"/>
      <c r="S193" s="344" t="str">
        <f t="shared" si="16"/>
        <v>MOVIMENTO DE TERRA</v>
      </c>
    </row>
    <row r="194" spans="1:19" s="414" customFormat="1">
      <c r="A194" s="410" t="s">
        <v>20</v>
      </c>
      <c r="B194" s="411"/>
      <c r="C194" s="410"/>
      <c r="D194" s="613" t="s">
        <v>2041</v>
      </c>
      <c r="E194" s="424" t="s">
        <v>76</v>
      </c>
      <c r="F194" s="422"/>
      <c r="G194" s="413"/>
      <c r="H194" s="413"/>
      <c r="I194" s="413"/>
      <c r="J194" s="413"/>
      <c r="K194" s="498"/>
      <c r="L194" s="474"/>
      <c r="M194" s="471"/>
      <c r="N194" s="419"/>
      <c r="O194" s="541"/>
      <c r="P194" s="419"/>
      <c r="Q194" s="419"/>
      <c r="S194" s="414" t="str">
        <f t="shared" si="16"/>
        <v>ESCAVAÇÃO DE VALAS</v>
      </c>
    </row>
    <row r="195" spans="1:19" s="414" customFormat="1">
      <c r="A195" s="410" t="s">
        <v>153</v>
      </c>
      <c r="B195" s="411"/>
      <c r="C195" s="410"/>
      <c r="D195" s="613" t="s">
        <v>2042</v>
      </c>
      <c r="E195" s="424" t="s">
        <v>76</v>
      </c>
      <c r="F195" s="422"/>
      <c r="G195" s="413"/>
      <c r="H195" s="413"/>
      <c r="I195" s="413"/>
      <c r="J195" s="413"/>
      <c r="K195" s="498"/>
      <c r="L195" s="474"/>
      <c r="M195" s="471"/>
      <c r="N195" s="419"/>
      <c r="O195" s="541"/>
      <c r="P195" s="419"/>
      <c r="Q195" s="419"/>
      <c r="S195" s="414" t="str">
        <f t="shared" si="16"/>
        <v>ESCAVAÇÃO MECÂNICA DE CAVAS</v>
      </c>
    </row>
    <row r="196" spans="1:19" s="344" customFormat="1" ht="15" customHeight="1">
      <c r="A196" s="49" t="s">
        <v>152</v>
      </c>
      <c r="B196" s="49">
        <f>'[3]Plan Tron'!B7</f>
        <v>60202</v>
      </c>
      <c r="C196" s="49" t="str">
        <f>'[3]Plan Tron'!C7</f>
        <v>CPOS</v>
      </c>
      <c r="D196" s="26" t="str">
        <f>'[3]Plan Tron'!D7</f>
        <v xml:space="preserve">ESCAVAÇÃO MANUAL EM SOLO DE 1ª E 2ª CATEGORIA EM VALA OU CAVA ATÉ 1,50M </v>
      </c>
      <c r="E196" s="77" t="str">
        <f>'[3]Plan Tron'!E7</f>
        <v>M³</v>
      </c>
      <c r="F196" s="21">
        <v>142.75</v>
      </c>
      <c r="G196" s="10">
        <v>10.220000000000001</v>
      </c>
      <c r="H196" s="10">
        <f>'[3]Plan Tron'!F7</f>
        <v>34.020000000000003</v>
      </c>
      <c r="I196" s="10">
        <v>26.44</v>
      </c>
      <c r="J196" s="10">
        <f>ROUND(H196*(I196/100+1),2)</f>
        <v>43.01</v>
      </c>
      <c r="K196" s="383">
        <v>0</v>
      </c>
      <c r="L196" s="474">
        <f>F196-K196</f>
        <v>142.75</v>
      </c>
      <c r="M196" s="471">
        <f t="shared" ref="M196:M246" si="17">ROUND(L196*J196,2)</f>
        <v>6139.68</v>
      </c>
      <c r="N196" s="405"/>
      <c r="O196" s="541"/>
      <c r="P196" s="405"/>
      <c r="Q196" s="405"/>
      <c r="S196" s="344" t="str">
        <f t="shared" si="16"/>
        <v xml:space="preserve">ESCAVAÇÃO MANUAL EM SOLO DE 1ª E 2ª CATEGORIA EM VALA OU CAVA ATÉ 1,50M </v>
      </c>
    </row>
    <row r="197" spans="1:19" s="344" customFormat="1" ht="15" customHeight="1">
      <c r="A197" s="49" t="s">
        <v>320</v>
      </c>
      <c r="B197" s="49">
        <f>'[3]Plan Tron'!B8</f>
        <v>60204</v>
      </c>
      <c r="C197" s="49" t="str">
        <f>'[3]Plan Tron'!C8</f>
        <v>CPOS</v>
      </c>
      <c r="D197" s="26" t="str">
        <f>'[3]Plan Tron'!D8</f>
        <v>ESCAVAÇÃO MANUAL EM SOLO DE 1ª E 2ª CATEGORIA EM VALA OU CAVA DE 1,5M A 3M</v>
      </c>
      <c r="E197" s="77" t="str">
        <f>'[3]Plan Tron'!E8</f>
        <v>M³</v>
      </c>
      <c r="F197" s="21">
        <v>66.97</v>
      </c>
      <c r="G197" s="10">
        <v>11.73</v>
      </c>
      <c r="H197" s="10">
        <f>'[3]Plan Tron'!F8</f>
        <v>44</v>
      </c>
      <c r="I197" s="10">
        <v>26.44</v>
      </c>
      <c r="J197" s="10">
        <f>ROUND(H197*(I197/100+1),2)</f>
        <v>55.63</v>
      </c>
      <c r="K197" s="383">
        <v>0</v>
      </c>
      <c r="L197" s="474">
        <f>F197-K197</f>
        <v>66.97</v>
      </c>
      <c r="M197" s="471">
        <f t="shared" si="17"/>
        <v>3725.54</v>
      </c>
      <c r="N197" s="405"/>
      <c r="O197" s="541"/>
      <c r="P197" s="405"/>
      <c r="Q197" s="405"/>
      <c r="S197" s="344" t="str">
        <f t="shared" si="16"/>
        <v>ESCAVAÇÃO MANUAL EM SOLO DE 1ª E 2ª CATEGORIA EM VALA OU CAVA DE 1,5M A 3M</v>
      </c>
    </row>
    <row r="198" spans="1:19" s="414" customFormat="1">
      <c r="A198" s="410" t="s">
        <v>18</v>
      </c>
      <c r="B198" s="411"/>
      <c r="C198" s="410"/>
      <c r="D198" s="613" t="s">
        <v>2046</v>
      </c>
      <c r="E198" s="424"/>
      <c r="F198" s="422"/>
      <c r="G198" s="413"/>
      <c r="H198" s="413"/>
      <c r="I198" s="413"/>
      <c r="J198" s="413"/>
      <c r="K198" s="498"/>
      <c r="L198" s="474"/>
      <c r="M198" s="471"/>
      <c r="N198" s="419"/>
      <c r="O198" s="541"/>
      <c r="P198" s="419"/>
      <c r="Q198" s="419"/>
      <c r="S198" s="414" t="str">
        <f t="shared" si="16"/>
        <v>CARGA, DESCARGA E/OU TRANSPORTE DE MATERIAIS</v>
      </c>
    </row>
    <row r="199" spans="1:19" s="344" customFormat="1">
      <c r="A199" s="49" t="s">
        <v>201</v>
      </c>
      <c r="B199" s="49">
        <f>'[3]Plan Tron'!B13</f>
        <v>72885</v>
      </c>
      <c r="C199" s="49" t="str">
        <f>'[3]Plan Tron'!C13</f>
        <v>SINAPI</v>
      </c>
      <c r="D199" s="26" t="str">
        <f>'[3]Plan Tron'!D13</f>
        <v>TRANSPORTE COMERCIAL COM CAMINHAO BASCULANTE 6 M3, RODOVIA EM LEITO NATURAL</v>
      </c>
      <c r="E199" s="77" t="str">
        <f>'[3]Plan Tron'!E13</f>
        <v>M³ X KM</v>
      </c>
      <c r="F199" s="21">
        <v>115.5</v>
      </c>
      <c r="G199" s="10">
        <v>1.03</v>
      </c>
      <c r="H199" s="10">
        <f>'[3]Plan Tron'!F13</f>
        <v>1.37</v>
      </c>
      <c r="I199" s="10">
        <v>26.44</v>
      </c>
      <c r="J199" s="10">
        <f>ROUND(H199*(I199/100+1),2)</f>
        <v>1.73</v>
      </c>
      <c r="K199" s="383">
        <v>0</v>
      </c>
      <c r="L199" s="474">
        <f>F199-K199</f>
        <v>115.5</v>
      </c>
      <c r="M199" s="471">
        <f t="shared" si="17"/>
        <v>199.82</v>
      </c>
      <c r="N199" s="405"/>
      <c r="O199" s="541"/>
      <c r="P199" s="405"/>
      <c r="Q199" s="405"/>
      <c r="S199" s="344" t="str">
        <f t="shared" si="16"/>
        <v>TRANSPORTE COMERCIAL COM CAMINHAO BASCULANTE 6 M3, RODOVIA EM LEITO NATURAL</v>
      </c>
    </row>
    <row r="200" spans="1:19" s="344" customFormat="1" ht="25.5">
      <c r="A200" s="49" t="s">
        <v>198</v>
      </c>
      <c r="B200" s="11" t="s">
        <v>2404</v>
      </c>
      <c r="C200" s="49" t="str">
        <f>'[3]Plan Tron'!C14</f>
        <v>SINAPI</v>
      </c>
      <c r="D200" s="614" t="str">
        <f>'[3]Plan Tron'!D14</f>
        <v>CARGA, MANOBRAS E DESCARGA DE AREIA, BRITA, PEDRA DE MAO E SOLOS COM CAMINHAO BASCULANTE 6 M3 (DESCARGA LIVRE)</v>
      </c>
      <c r="E200" s="49" t="str">
        <f>'[3]Plan Tron'!E14</f>
        <v>M³</v>
      </c>
      <c r="F200" s="21">
        <v>23.1</v>
      </c>
      <c r="G200" s="10">
        <v>0.81</v>
      </c>
      <c r="H200" s="10">
        <f>'[3]Plan Tron'!F14</f>
        <v>0.96</v>
      </c>
      <c r="I200" s="10">
        <v>26.44</v>
      </c>
      <c r="J200" s="10">
        <f>ROUND(H200*(I200/100+1),2)</f>
        <v>1.21</v>
      </c>
      <c r="K200" s="383">
        <v>0</v>
      </c>
      <c r="L200" s="474">
        <f>F200-K200</f>
        <v>23.1</v>
      </c>
      <c r="M200" s="471">
        <f t="shared" si="17"/>
        <v>27.95</v>
      </c>
      <c r="N200" s="405"/>
      <c r="O200" s="541"/>
      <c r="P200" s="405"/>
      <c r="Q200" s="405"/>
      <c r="S200" s="344" t="str">
        <f t="shared" si="16"/>
        <v>CARGA, MANOBRAS E DESCARGA DE AREIA, BRITA, PEDRA DE MAO E SOLOS COM CAMINHAO BASCULANTE 6 M3 (DESCARGA LIVRE)</v>
      </c>
    </row>
    <row r="201" spans="1:19" s="414" customFormat="1">
      <c r="A201" s="410" t="s">
        <v>17</v>
      </c>
      <c r="B201" s="411"/>
      <c r="C201" s="410"/>
      <c r="D201" s="613" t="s">
        <v>2100</v>
      </c>
      <c r="E201" s="424"/>
      <c r="F201" s="422"/>
      <c r="G201" s="413"/>
      <c r="H201" s="413"/>
      <c r="I201" s="413"/>
      <c r="J201" s="413"/>
      <c r="K201" s="498"/>
      <c r="L201" s="474"/>
      <c r="M201" s="471"/>
      <c r="N201" s="419"/>
      <c r="O201" s="541"/>
      <c r="P201" s="419"/>
      <c r="Q201" s="419"/>
      <c r="S201" s="414" t="str">
        <f t="shared" si="16"/>
        <v>COMPACTAÇÃO OU APILOAMENTO</v>
      </c>
    </row>
    <row r="202" spans="1:19" s="344" customFormat="1" ht="25.5">
      <c r="A202" s="49" t="s">
        <v>195</v>
      </c>
      <c r="B202" s="49">
        <f>'[3]Plan Tron'!B89</f>
        <v>94098</v>
      </c>
      <c r="C202" s="49" t="str">
        <f>'[3]Plan Tron'!C89</f>
        <v>SINAPI</v>
      </c>
      <c r="D202" s="26" t="str">
        <f>'[3]Plan Tron'!D89</f>
        <v>PREPARO DE FUNDO DE VALA COM LARGURA MENOR QUE 1,5 M, EM LOCAL COM NÍVEL ALTO DE INTERFERÊNCIA. AF_06/2016</v>
      </c>
      <c r="E202" s="77" t="str">
        <f>'[3]Plan Tron'!E89</f>
        <v>M²</v>
      </c>
      <c r="F202" s="21">
        <v>10.88</v>
      </c>
      <c r="G202" s="10">
        <v>3.24</v>
      </c>
      <c r="H202" s="10">
        <f>'[3]Plan Tron'!F89</f>
        <v>5.53</v>
      </c>
      <c r="I202" s="10">
        <v>26.44</v>
      </c>
      <c r="J202" s="10">
        <f>ROUND(H202*(I202/100+1),2)</f>
        <v>6.99</v>
      </c>
      <c r="K202" s="383">
        <v>0</v>
      </c>
      <c r="L202" s="474">
        <f>F202-K202</f>
        <v>10.88</v>
      </c>
      <c r="M202" s="471">
        <f t="shared" si="17"/>
        <v>76.05</v>
      </c>
      <c r="N202" s="405"/>
      <c r="O202" s="541"/>
      <c r="P202" s="405"/>
      <c r="Q202" s="405"/>
      <c r="S202" s="344" t="str">
        <f t="shared" si="16"/>
        <v>PREPARO DE FUNDO DE VALA COM LARGURA MENOR QUE 1,5 M, EM LOCAL COM NÍVEL ALTO DE INTERFERÊNCIA. AF_06/2016</v>
      </c>
    </row>
    <row r="203" spans="1:19" s="344" customFormat="1" ht="25.5">
      <c r="A203" s="49" t="s">
        <v>319</v>
      </c>
      <c r="B203" s="49" t="str">
        <f>'[3]Plan Tron'!B64</f>
        <v xml:space="preserve">74005/002 </v>
      </c>
      <c r="C203" s="49" t="str">
        <f>'[3]Plan Tron'!C64</f>
        <v>SINAPI</v>
      </c>
      <c r="D203" s="26" t="str">
        <f>'[3]Plan Tron'!D64</f>
        <v>COMPACTACAO MECANICA C/ CONTROLE DO GC&gt;=95% DO PN (AREAS) (C/MONIVELADORA 140 HP E ROLO COMPRESSOR VIBRATORIO 80 HP)</v>
      </c>
      <c r="E203" s="24" t="str">
        <f>'[3]Plan Tron'!E64</f>
        <v>M³</v>
      </c>
      <c r="F203" s="21">
        <v>186.63</v>
      </c>
      <c r="G203" s="10">
        <v>2.9</v>
      </c>
      <c r="H203" s="10">
        <f>'[3]Plan Tron'!F64</f>
        <v>4.83</v>
      </c>
      <c r="I203" s="10">
        <v>26.44</v>
      </c>
      <c r="J203" s="10">
        <f>ROUND(H203*(I203/100+1),2)</f>
        <v>6.11</v>
      </c>
      <c r="K203" s="383">
        <v>0</v>
      </c>
      <c r="L203" s="474">
        <f>F203-K203</f>
        <v>186.63</v>
      </c>
      <c r="M203" s="471">
        <f t="shared" si="17"/>
        <v>1140.31</v>
      </c>
      <c r="N203" s="405"/>
      <c r="O203" s="541"/>
      <c r="P203" s="405"/>
      <c r="Q203" s="405"/>
      <c r="S203" s="344" t="str">
        <f t="shared" si="16"/>
        <v>COMPACTACAO MECANICA C/ CONTROLE DO GC&gt;=95% DO PN (AREAS) (C/MONIVELADORA 140 HP E ROLO COMPRESSOR VIBRATORIO 80 HP)</v>
      </c>
    </row>
    <row r="204" spans="1:19" s="344" customFormat="1">
      <c r="A204" s="49"/>
      <c r="B204" s="17"/>
      <c r="C204" s="49"/>
      <c r="D204" s="451"/>
      <c r="E204" s="7"/>
      <c r="F204" s="10"/>
      <c r="G204" s="21"/>
      <c r="H204" s="21"/>
      <c r="I204" s="10"/>
      <c r="J204" s="10"/>
      <c r="K204" s="451"/>
      <c r="L204" s="474"/>
      <c r="M204" s="471"/>
      <c r="N204" s="405"/>
      <c r="O204" s="541"/>
      <c r="P204" s="405"/>
      <c r="Q204" s="405"/>
    </row>
    <row r="205" spans="1:19" s="344" customFormat="1">
      <c r="A205" s="49"/>
      <c r="B205" s="17"/>
      <c r="C205" s="49"/>
      <c r="D205" s="52" t="s">
        <v>76</v>
      </c>
      <c r="E205" s="7" t="s">
        <v>76</v>
      </c>
      <c r="F205" s="10"/>
      <c r="G205" s="21"/>
      <c r="H205" s="21"/>
      <c r="I205" s="10"/>
      <c r="J205" s="10"/>
      <c r="K205" s="383"/>
      <c r="L205" s="474"/>
      <c r="M205" s="471"/>
      <c r="N205" s="405"/>
      <c r="O205" s="541"/>
      <c r="P205" s="405"/>
      <c r="Q205" s="405"/>
      <c r="S205" s="344" t="str">
        <f t="shared" ref="S205:S221" si="18">UPPER(D205)</f>
        <v/>
      </c>
    </row>
    <row r="206" spans="1:19" s="344" customFormat="1">
      <c r="A206" s="45">
        <v>2</v>
      </c>
      <c r="B206" s="23"/>
      <c r="C206" s="45"/>
      <c r="D206" s="397" t="s">
        <v>2054</v>
      </c>
      <c r="E206" s="24" t="s">
        <v>76</v>
      </c>
      <c r="F206" s="21"/>
      <c r="G206" s="10"/>
      <c r="H206" s="10"/>
      <c r="I206" s="10"/>
      <c r="J206" s="10"/>
      <c r="K206" s="383"/>
      <c r="L206" s="474"/>
      <c r="M206" s="471"/>
      <c r="N206" s="405"/>
      <c r="O206" s="541"/>
      <c r="P206" s="405"/>
      <c r="Q206" s="405"/>
      <c r="S206" s="344" t="str">
        <f t="shared" si="18"/>
        <v>FUNDAÇÕES E ESTRUTURAS</v>
      </c>
    </row>
    <row r="207" spans="1:19" s="414" customFormat="1">
      <c r="A207" s="410" t="s">
        <v>9</v>
      </c>
      <c r="B207" s="425"/>
      <c r="C207" s="410"/>
      <c r="D207" s="420" t="s">
        <v>2055</v>
      </c>
      <c r="E207" s="424" t="s">
        <v>76</v>
      </c>
      <c r="F207" s="422"/>
      <c r="G207" s="413"/>
      <c r="H207" s="413"/>
      <c r="I207" s="413"/>
      <c r="J207" s="413"/>
      <c r="K207" s="498"/>
      <c r="L207" s="474"/>
      <c r="M207" s="471"/>
      <c r="N207" s="419"/>
      <c r="O207" s="541"/>
      <c r="P207" s="419"/>
      <c r="Q207" s="419"/>
      <c r="S207" s="414" t="str">
        <f t="shared" si="18"/>
        <v>LASTROS / FUNDAÇÕES DIRETAS</v>
      </c>
    </row>
    <row r="208" spans="1:19" s="414" customFormat="1">
      <c r="A208" s="410" t="s">
        <v>317</v>
      </c>
      <c r="B208" s="425"/>
      <c r="C208" s="410"/>
      <c r="D208" s="426" t="s">
        <v>2056</v>
      </c>
      <c r="E208" s="424" t="s">
        <v>76</v>
      </c>
      <c r="F208" s="422"/>
      <c r="G208" s="413"/>
      <c r="H208" s="413"/>
      <c r="I208" s="413"/>
      <c r="J208" s="413"/>
      <c r="K208" s="498"/>
      <c r="L208" s="474"/>
      <c r="M208" s="471"/>
      <c r="N208" s="419"/>
      <c r="O208" s="541"/>
      <c r="P208" s="419"/>
      <c r="Q208" s="419"/>
      <c r="S208" s="414" t="str">
        <f t="shared" si="18"/>
        <v>LASTRO DE PEDRA BRITADA E FUNDAÇÕES EM BALDRAME.</v>
      </c>
    </row>
    <row r="209" spans="1:19" s="344" customFormat="1">
      <c r="A209" s="49" t="s">
        <v>318</v>
      </c>
      <c r="B209" s="49">
        <f>'[3]Plan Tron'!B18</f>
        <v>6514</v>
      </c>
      <c r="C209" s="49" t="str">
        <f>'[3]Plan Tron'!C18</f>
        <v>SINAPI</v>
      </c>
      <c r="D209" s="35" t="str">
        <f>'[3]Plan Tron'!D18</f>
        <v xml:space="preserve">FORNECIMENTO E LANCAMENTO DE BRITA N. 4 </v>
      </c>
      <c r="E209" s="77" t="str">
        <f>'[3]Plan Tron'!E18</f>
        <v>M³</v>
      </c>
      <c r="F209" s="21">
        <v>0.54</v>
      </c>
      <c r="G209" s="10">
        <f>G78</f>
        <v>74.28</v>
      </c>
      <c r="H209" s="10">
        <f>'[3]Plan Tron'!F18</f>
        <v>88.38</v>
      </c>
      <c r="I209" s="10">
        <v>26.44</v>
      </c>
      <c r="J209" s="10">
        <f>ROUND(H209*(I209/100+1),2)</f>
        <v>111.75</v>
      </c>
      <c r="K209" s="383">
        <v>0</v>
      </c>
      <c r="L209" s="474">
        <f>F209-K209</f>
        <v>0.54</v>
      </c>
      <c r="M209" s="471">
        <f t="shared" si="17"/>
        <v>60.35</v>
      </c>
      <c r="N209" s="405"/>
      <c r="O209" s="541"/>
      <c r="P209" s="405"/>
      <c r="Q209" s="405"/>
      <c r="S209" s="344" t="str">
        <f t="shared" si="18"/>
        <v xml:space="preserve">FORNECIMENTO E LANCAMENTO DE BRITA N. 4 </v>
      </c>
    </row>
    <row r="210" spans="1:19" s="414" customFormat="1">
      <c r="A210" s="410" t="s">
        <v>8</v>
      </c>
      <c r="B210" s="646"/>
      <c r="C210" s="410"/>
      <c r="D210" s="694" t="s">
        <v>2058</v>
      </c>
      <c r="E210" s="648"/>
      <c r="F210" s="674"/>
      <c r="G210" s="413"/>
      <c r="H210" s="413"/>
      <c r="I210" s="413"/>
      <c r="J210" s="413"/>
      <c r="K210" s="498"/>
      <c r="L210" s="474"/>
      <c r="M210" s="471"/>
      <c r="N210" s="419"/>
      <c r="O210" s="541"/>
      <c r="P210" s="419"/>
      <c r="Q210" s="419"/>
      <c r="S210" s="414" t="str">
        <f t="shared" si="18"/>
        <v>FORMAS / CIMBRAMENTOS / ESCORAMENTOS</v>
      </c>
    </row>
    <row r="211" spans="1:19" s="344" customFormat="1">
      <c r="A211" s="49" t="s">
        <v>317</v>
      </c>
      <c r="B211" s="49">
        <f>'[3]Plan Tron'!B20</f>
        <v>5651</v>
      </c>
      <c r="C211" s="49" t="str">
        <f>'[3]Plan Tron'!C20</f>
        <v>SINAPI</v>
      </c>
      <c r="D211" s="31" t="str">
        <f>'[3]Plan Tron'!D20</f>
        <v>FORMA DE MADEIRA COMUM PARA FUNDAÇÕES - REAPROVEITAMENTO 5X.</v>
      </c>
      <c r="E211" s="675" t="str">
        <f>'[3]Plan Tron'!E20</f>
        <v>M²</v>
      </c>
      <c r="F211" s="21">
        <v>57.78</v>
      </c>
      <c r="G211" s="10">
        <v>22.96</v>
      </c>
      <c r="H211" s="10">
        <f>'[3]Plan Tron'!F20</f>
        <v>29.01</v>
      </c>
      <c r="I211" s="10">
        <v>26.44</v>
      </c>
      <c r="J211" s="10">
        <f>ROUND(H211*(I211/100+1),2)</f>
        <v>36.68</v>
      </c>
      <c r="K211" s="383">
        <v>0</v>
      </c>
      <c r="L211" s="474">
        <f>F211-K211</f>
        <v>57.78</v>
      </c>
      <c r="M211" s="471">
        <f t="shared" si="17"/>
        <v>2119.37</v>
      </c>
      <c r="N211" s="405"/>
      <c r="O211" s="541"/>
      <c r="P211" s="405"/>
      <c r="Q211" s="405"/>
      <c r="S211" s="344" t="str">
        <f t="shared" si="18"/>
        <v>FORMA DE MADEIRA COMUM PARA FUNDAÇÕES - REAPROVEITAMENTO 5X.</v>
      </c>
    </row>
    <row r="212" spans="1:19" s="344" customFormat="1">
      <c r="A212" s="49" t="s">
        <v>316</v>
      </c>
      <c r="B212" s="49" t="str">
        <f>'[3]Plan Tron'!B65</f>
        <v xml:space="preserve">090206 </v>
      </c>
      <c r="C212" s="49" t="str">
        <f>'[3]Plan Tron'!C65</f>
        <v>CPOS</v>
      </c>
      <c r="D212" s="31" t="str">
        <f>'[3]Plan Tron'!D65</f>
        <v xml:space="preserve">FORMA CURVA EM COMPENSADO PARA ESTRUTURA APARENTE </v>
      </c>
      <c r="E212" s="34" t="str">
        <f>'[3]Plan Tron'!E65</f>
        <v>M²</v>
      </c>
      <c r="F212" s="21">
        <v>0.82</v>
      </c>
      <c r="G212" s="10">
        <v>84.77</v>
      </c>
      <c r="H212" s="10">
        <f>'[3]Plan Tron'!F65</f>
        <v>107.03</v>
      </c>
      <c r="I212" s="10">
        <v>26.44</v>
      </c>
      <c r="J212" s="10">
        <f>ROUND(H212*(I212/100+1),2)</f>
        <v>135.33000000000001</v>
      </c>
      <c r="K212" s="383">
        <v>0</v>
      </c>
      <c r="L212" s="474">
        <f>F212-K212</f>
        <v>0.82</v>
      </c>
      <c r="M212" s="471">
        <f t="shared" si="17"/>
        <v>110.97</v>
      </c>
      <c r="N212" s="405"/>
      <c r="O212" s="541"/>
      <c r="P212" s="405"/>
      <c r="Q212" s="405"/>
      <c r="S212" s="344" t="str">
        <f t="shared" si="18"/>
        <v xml:space="preserve">FORMA CURVA EM COMPENSADO PARA ESTRUTURA APARENTE </v>
      </c>
    </row>
    <row r="213" spans="1:19" s="344" customFormat="1">
      <c r="A213" s="49" t="s">
        <v>315</v>
      </c>
      <c r="B213" s="49" t="str">
        <f>'[3]Plan Tron'!B66</f>
        <v xml:space="preserve">080202 </v>
      </c>
      <c r="C213" s="49" t="str">
        <f>'[3]Plan Tron'!C66</f>
        <v>CPOS</v>
      </c>
      <c r="D213" s="63" t="str">
        <f>'[3]Plan Tron'!D66</f>
        <v>CIMBRAMENTO EM MADEIRA COM ESTRONCAS DE EUCALIPTO</v>
      </c>
      <c r="E213" s="34" t="str">
        <f>'[3]Plan Tron'!E66</f>
        <v>M³</v>
      </c>
      <c r="F213" s="21">
        <v>9.57</v>
      </c>
      <c r="G213" s="10">
        <v>25.02</v>
      </c>
      <c r="H213" s="10">
        <f>'[3]Plan Tron'!F66</f>
        <v>27.46</v>
      </c>
      <c r="I213" s="10">
        <v>26.44</v>
      </c>
      <c r="J213" s="10">
        <f>ROUND(H213*(I213/100+1),2)</f>
        <v>34.72</v>
      </c>
      <c r="K213" s="383">
        <v>0</v>
      </c>
      <c r="L213" s="474">
        <f>F213-K213</f>
        <v>9.57</v>
      </c>
      <c r="M213" s="471">
        <f t="shared" si="17"/>
        <v>332.27</v>
      </c>
      <c r="N213" s="405"/>
      <c r="O213" s="541"/>
      <c r="P213" s="405"/>
      <c r="Q213" s="405"/>
      <c r="S213" s="344" t="str">
        <f t="shared" si="18"/>
        <v>CIMBRAMENTO EM MADEIRA COM ESTRONCAS DE EUCALIPTO</v>
      </c>
    </row>
    <row r="214" spans="1:19" s="414" customFormat="1">
      <c r="A214" s="410" t="s">
        <v>7</v>
      </c>
      <c r="B214" s="425"/>
      <c r="C214" s="410"/>
      <c r="D214" s="420" t="s">
        <v>2059</v>
      </c>
      <c r="E214" s="421"/>
      <c r="F214" s="659"/>
      <c r="G214" s="413"/>
      <c r="H214" s="413"/>
      <c r="I214" s="413"/>
      <c r="J214" s="413"/>
      <c r="K214" s="498"/>
      <c r="L214" s="474"/>
      <c r="M214" s="471"/>
      <c r="N214" s="419"/>
      <c r="O214" s="541"/>
      <c r="P214" s="419"/>
      <c r="Q214" s="419"/>
      <c r="S214" s="414" t="str">
        <f t="shared" si="18"/>
        <v>ARMADURAS</v>
      </c>
    </row>
    <row r="215" spans="1:19" s="414" customFormat="1">
      <c r="A215" s="410" t="s">
        <v>314</v>
      </c>
      <c r="B215" s="425"/>
      <c r="C215" s="410"/>
      <c r="D215" s="420" t="s">
        <v>2060</v>
      </c>
      <c r="E215" s="421"/>
      <c r="F215" s="430"/>
      <c r="G215" s="413"/>
      <c r="H215" s="413"/>
      <c r="I215" s="413"/>
      <c r="J215" s="413"/>
      <c r="K215" s="498"/>
      <c r="L215" s="474"/>
      <c r="M215" s="471"/>
      <c r="N215" s="419"/>
      <c r="O215" s="541"/>
      <c r="P215" s="419"/>
      <c r="Q215" s="419"/>
      <c r="S215" s="414" t="str">
        <f t="shared" si="18"/>
        <v>ARMAÇÃO EM AÇO CA-50 PARA ESTRUTURAS DE CONCRETO.</v>
      </c>
    </row>
    <row r="216" spans="1:19" s="344" customFormat="1" ht="25.5">
      <c r="A216" s="49" t="s">
        <v>313</v>
      </c>
      <c r="B216" s="49">
        <f>'[3]Plan Tron'!B21</f>
        <v>92761</v>
      </c>
      <c r="C216" s="49" t="str">
        <f>'[3]Plan Tron'!C21</f>
        <v>SINAPI</v>
      </c>
      <c r="D216" s="35" t="str">
        <f>'[3]Plan Tron'!D21</f>
        <v>ARMAÇÃO DE PILAR OU VIGA DE UMA ESTRUTURA CONVENCIONAL DE CONCRETO ARMADO EM UM EDIFÍCIO DE MÚLTIPLOS PAVIMENTOS UTILIZANDO AÇO CA-50 DE 8.0MM - MONTAGEM. AF_12/2015</v>
      </c>
      <c r="E216" s="672" t="str">
        <f>'[3]Plan Tron'!E21</f>
        <v>KG</v>
      </c>
      <c r="F216" s="51">
        <v>73</v>
      </c>
      <c r="G216" s="10">
        <v>6.66</v>
      </c>
      <c r="H216" s="10">
        <f>'[3]Plan Tron'!F21</f>
        <v>9.44</v>
      </c>
      <c r="I216" s="10">
        <v>26.44</v>
      </c>
      <c r="J216" s="10">
        <f>ROUND(H216*(I216/100+1),2)</f>
        <v>11.94</v>
      </c>
      <c r="K216" s="383">
        <v>0</v>
      </c>
      <c r="L216" s="474">
        <f>F216-K216</f>
        <v>73</v>
      </c>
      <c r="M216" s="471">
        <f t="shared" si="17"/>
        <v>871.62</v>
      </c>
      <c r="N216" s="405"/>
      <c r="O216" s="541"/>
      <c r="P216" s="405"/>
      <c r="Q216" s="405"/>
      <c r="S216" s="344" t="str">
        <f t="shared" si="18"/>
        <v>ARMAÇÃO DE PILAR OU VIGA DE UMA ESTRUTURA CONVENCIONAL DE CONCRETO ARMADO EM UM EDIFÍCIO DE MÚLTIPLOS PAVIMENTOS UTILIZANDO AÇO CA-50 DE 8.0MM - MONTAGEM. AF_12/2015</v>
      </c>
    </row>
    <row r="217" spans="1:19" s="344" customFormat="1" ht="25.5">
      <c r="A217" s="49" t="s">
        <v>312</v>
      </c>
      <c r="B217" s="49">
        <f>'[3]Plan Tron'!B90</f>
        <v>92763</v>
      </c>
      <c r="C217" s="49" t="str">
        <f>'[3]Plan Tron'!C90</f>
        <v>SINAPI</v>
      </c>
      <c r="D217" s="35" t="str">
        <f>'[3]Plan Tron'!D90</f>
        <v>ARMAÇÃO DE PILAR OU VIGA DE UMA ESTRUTURA CONVENCIONAL DE CONCRETO ARMADO EM UM EDIFÍCIO DE MÚLTIPLOS PAVIMENTOS UTILIZANDO AÇO CA-50 DE 12.5 MM - MONTAGEM. AF_12/2015</v>
      </c>
      <c r="E217" s="672" t="str">
        <f>'[3]Plan Tron'!E90</f>
        <v>KG</v>
      </c>
      <c r="F217" s="21">
        <v>760</v>
      </c>
      <c r="G217" s="10">
        <f>G85</f>
        <v>5.9</v>
      </c>
      <c r="H217" s="10">
        <f>'[3]Plan Tron'!F90</f>
        <v>6.29</v>
      </c>
      <c r="I217" s="10">
        <v>26.44</v>
      </c>
      <c r="J217" s="10">
        <f>ROUND(H217*(I217/100+1),2)</f>
        <v>7.95</v>
      </c>
      <c r="K217" s="383">
        <v>0</v>
      </c>
      <c r="L217" s="474">
        <f>F217-K217</f>
        <v>760</v>
      </c>
      <c r="M217" s="471">
        <f t="shared" si="17"/>
        <v>6042</v>
      </c>
      <c r="N217" s="405"/>
      <c r="O217" s="541"/>
      <c r="P217" s="405"/>
      <c r="Q217" s="405"/>
      <c r="S217" s="344" t="str">
        <f t="shared" si="18"/>
        <v>ARMAÇÃO DE PILAR OU VIGA DE UMA ESTRUTURA CONVENCIONAL DE CONCRETO ARMADO EM UM EDIFÍCIO DE MÚLTIPLOS PAVIMENTOS UTILIZANDO AÇO CA-50 DE 12.5 MM - MONTAGEM. AF_12/2015</v>
      </c>
    </row>
    <row r="218" spans="1:19" s="414" customFormat="1">
      <c r="A218" s="410" t="s">
        <v>6</v>
      </c>
      <c r="B218" s="646"/>
      <c r="C218" s="410"/>
      <c r="D218" s="694" t="s">
        <v>2061</v>
      </c>
      <c r="E218" s="648"/>
      <c r="F218" s="674"/>
      <c r="G218" s="413"/>
      <c r="H218" s="413"/>
      <c r="I218" s="413"/>
      <c r="J218" s="413"/>
      <c r="K218" s="498"/>
      <c r="L218" s="474"/>
      <c r="M218" s="471"/>
      <c r="N218" s="419"/>
      <c r="O218" s="541"/>
      <c r="P218" s="419"/>
      <c r="Q218" s="419"/>
      <c r="S218" s="414" t="str">
        <f t="shared" si="18"/>
        <v>CONCRETOS</v>
      </c>
    </row>
    <row r="219" spans="1:19" s="414" customFormat="1">
      <c r="A219" s="410" t="s">
        <v>311</v>
      </c>
      <c r="B219" s="425"/>
      <c r="C219" s="410"/>
      <c r="D219" s="420" t="s">
        <v>2062</v>
      </c>
      <c r="E219" s="421"/>
      <c r="F219" s="430"/>
      <c r="G219" s="413"/>
      <c r="H219" s="413"/>
      <c r="I219" s="413"/>
      <c r="J219" s="413"/>
      <c r="K219" s="498"/>
      <c r="L219" s="474"/>
      <c r="M219" s="471"/>
      <c r="N219" s="419"/>
      <c r="O219" s="541"/>
      <c r="P219" s="419"/>
      <c r="Q219" s="419"/>
      <c r="S219" s="414" t="str">
        <f t="shared" si="18"/>
        <v>CONCRETO BOMBEADO</v>
      </c>
    </row>
    <row r="220" spans="1:19" s="344" customFormat="1">
      <c r="A220" s="49" t="s">
        <v>310</v>
      </c>
      <c r="B220" s="49">
        <f>'[3]Plan Tron'!B27</f>
        <v>110132</v>
      </c>
      <c r="C220" s="49" t="str">
        <f>'[3]Plan Tron'!C27</f>
        <v>CPOS</v>
      </c>
      <c r="D220" s="35" t="str">
        <f>'[3]Plan Tron'!D27</f>
        <v xml:space="preserve">CONCRETO USINADO, FCK=30MPa - PARA BOMBEAMENTO </v>
      </c>
      <c r="E220" s="672" t="str">
        <f>'[3]Plan Tron'!E27</f>
        <v>M³</v>
      </c>
      <c r="F220" s="21">
        <v>8.9600000000000009</v>
      </c>
      <c r="G220" s="9">
        <f>ROUND(336.65,2)</f>
        <v>336.65</v>
      </c>
      <c r="H220" s="9">
        <f>'[3]Plan Tron'!F27</f>
        <v>311.94</v>
      </c>
      <c r="I220" s="10">
        <v>26.44</v>
      </c>
      <c r="J220" s="10">
        <f>ROUND(H220*(I220/100+1),2)</f>
        <v>394.42</v>
      </c>
      <c r="K220" s="383">
        <v>0</v>
      </c>
      <c r="L220" s="474">
        <f>F220-K220</f>
        <v>8.9600000000000009</v>
      </c>
      <c r="M220" s="471">
        <f t="shared" si="17"/>
        <v>3534</v>
      </c>
      <c r="N220" s="405"/>
      <c r="O220" s="541"/>
      <c r="P220" s="405"/>
      <c r="Q220" s="405"/>
      <c r="S220" s="344" t="str">
        <f t="shared" si="18"/>
        <v xml:space="preserve">CONCRETO USINADO, FCK=30MPA - PARA BOMBEAMENTO </v>
      </c>
    </row>
    <row r="221" spans="1:19" s="344" customFormat="1">
      <c r="A221" s="49" t="s">
        <v>309</v>
      </c>
      <c r="B221" s="49">
        <f>'[3]Plan Tron'!B24</f>
        <v>110406</v>
      </c>
      <c r="C221" s="49" t="str">
        <f>'[3]Plan Tron'!C24</f>
        <v>CPOS</v>
      </c>
      <c r="D221" s="35" t="str">
        <f>'[3]Plan Tron'!D24</f>
        <v xml:space="preserve">CONCRETO NÃO ESTRUTURAL EXECUTADO NO LOCAL, MINIMO 300KG CIMENTO/M³ </v>
      </c>
      <c r="E221" s="675" t="str">
        <f>'[3]Plan Tron'!E24</f>
        <v>M³</v>
      </c>
      <c r="F221" s="21">
        <v>0.54</v>
      </c>
      <c r="G221" s="9">
        <f>ROUND(238.25,2)</f>
        <v>238.25</v>
      </c>
      <c r="H221" s="9">
        <f>'[3]Plan Tron'!F24</f>
        <v>279.64</v>
      </c>
      <c r="I221" s="10">
        <v>26.44</v>
      </c>
      <c r="J221" s="10">
        <f>ROUND(H221*(I221/100+1),2)</f>
        <v>353.58</v>
      </c>
      <c r="K221" s="383">
        <v>0</v>
      </c>
      <c r="L221" s="474">
        <f>F221-K221</f>
        <v>0.54</v>
      </c>
      <c r="M221" s="471">
        <f t="shared" si="17"/>
        <v>190.93</v>
      </c>
      <c r="N221" s="405"/>
      <c r="O221" s="541"/>
      <c r="P221" s="405"/>
      <c r="Q221" s="405"/>
      <c r="S221" s="344" t="str">
        <f t="shared" si="18"/>
        <v xml:space="preserve">CONCRETO NÃO ESTRUTURAL EXECUTADO NO LOCAL, MINIMO 300KG CIMENTO/M³ </v>
      </c>
    </row>
    <row r="222" spans="1:19" s="344" customFormat="1">
      <c r="A222" s="49"/>
      <c r="B222" s="17"/>
      <c r="C222" s="49"/>
      <c r="D222" s="451"/>
      <c r="E222" s="7"/>
      <c r="F222" s="10"/>
      <c r="G222" s="21"/>
      <c r="H222" s="21"/>
      <c r="I222" s="10"/>
      <c r="J222" s="10"/>
      <c r="K222" s="451"/>
      <c r="L222" s="474"/>
      <c r="M222" s="471"/>
      <c r="N222" s="405"/>
      <c r="O222" s="541"/>
      <c r="P222" s="405"/>
      <c r="Q222" s="405"/>
    </row>
    <row r="223" spans="1:19" s="344" customFormat="1">
      <c r="A223" s="49"/>
      <c r="B223" s="17"/>
      <c r="C223" s="49"/>
      <c r="D223" s="52" t="s">
        <v>76</v>
      </c>
      <c r="E223" s="7"/>
      <c r="F223" s="10"/>
      <c r="G223" s="21"/>
      <c r="H223" s="21"/>
      <c r="I223" s="10"/>
      <c r="J223" s="10"/>
      <c r="K223" s="383"/>
      <c r="L223" s="474"/>
      <c r="M223" s="471"/>
      <c r="N223" s="405"/>
      <c r="O223" s="541"/>
      <c r="P223" s="405"/>
      <c r="Q223" s="405"/>
      <c r="S223" s="344" t="str">
        <f>UPPER(D223)</f>
        <v/>
      </c>
    </row>
    <row r="224" spans="1:19" s="344" customFormat="1">
      <c r="A224" s="45">
        <v>3</v>
      </c>
      <c r="B224" s="17"/>
      <c r="C224" s="45"/>
      <c r="D224" s="52" t="s">
        <v>2101</v>
      </c>
      <c r="E224" s="7"/>
      <c r="F224" s="10"/>
      <c r="G224" s="21"/>
      <c r="H224" s="21"/>
      <c r="I224" s="10"/>
      <c r="J224" s="10"/>
      <c r="K224" s="383"/>
      <c r="L224" s="474"/>
      <c r="M224" s="471"/>
      <c r="N224" s="405"/>
      <c r="O224" s="541"/>
      <c r="P224" s="405"/>
      <c r="Q224" s="405"/>
      <c r="S224" s="344" t="str">
        <f>UPPER(D224)</f>
        <v>DRENAGEM/OBRAS DE CONTENCAO/POCOS DE VISITA E CAIXAS</v>
      </c>
    </row>
    <row r="225" spans="1:19" s="414" customFormat="1">
      <c r="A225" s="410" t="s">
        <v>144</v>
      </c>
      <c r="B225" s="425"/>
      <c r="C225" s="410"/>
      <c r="D225" s="690" t="s">
        <v>2102</v>
      </c>
      <c r="E225" s="617"/>
      <c r="F225" s="413"/>
      <c r="G225" s="422"/>
      <c r="H225" s="422"/>
      <c r="I225" s="413"/>
      <c r="J225" s="413"/>
      <c r="K225" s="498"/>
      <c r="L225" s="474"/>
      <c r="M225" s="471"/>
      <c r="N225" s="419"/>
      <c r="O225" s="541"/>
      <c r="P225" s="419"/>
      <c r="Q225" s="419"/>
      <c r="S225" s="414" t="str">
        <f>UPPER(D225)</f>
        <v>DRENO</v>
      </c>
    </row>
    <row r="226" spans="1:19" s="344" customFormat="1">
      <c r="A226" s="49" t="s">
        <v>143</v>
      </c>
      <c r="B226" s="16">
        <f>'[3]Plan Tron'!B67</f>
        <v>83682</v>
      </c>
      <c r="C226" s="49" t="str">
        <f>'[3]Plan Tron'!C67</f>
        <v>SINAPI</v>
      </c>
      <c r="D226" s="15" t="str">
        <f>'[3]Plan Tron'!D67</f>
        <v>CAMADA VERTICAL DRENANTE C/ PEDRA BRITADA NÚMERO 1 E 2.</v>
      </c>
      <c r="E226" s="7" t="str">
        <f>'[3]Plan Tron'!E67</f>
        <v>M³</v>
      </c>
      <c r="F226" s="10">
        <v>0.01</v>
      </c>
      <c r="G226" s="21">
        <v>82.81</v>
      </c>
      <c r="H226" s="21">
        <f>'[3]Plan Tron'!F67</f>
        <v>94.45</v>
      </c>
      <c r="I226" s="10">
        <v>26.44</v>
      </c>
      <c r="J226" s="10">
        <f>ROUND(H226*(I226/100+1),2)</f>
        <v>119.42</v>
      </c>
      <c r="K226" s="383">
        <v>0</v>
      </c>
      <c r="L226" s="474">
        <f>F226-K226</f>
        <v>0.01</v>
      </c>
      <c r="M226" s="471">
        <f t="shared" si="17"/>
        <v>1.19</v>
      </c>
      <c r="N226" s="405"/>
      <c r="O226" s="541"/>
      <c r="P226" s="405"/>
      <c r="Q226" s="405"/>
      <c r="S226" s="344" t="str">
        <f>UPPER(D226)</f>
        <v>CAMADA VERTICAL DRENANTE C/ PEDRA BRITADA NÚMERO 1 E 2.</v>
      </c>
    </row>
    <row r="227" spans="1:19" s="344" customFormat="1">
      <c r="A227" s="49"/>
      <c r="B227" s="17"/>
      <c r="C227" s="49"/>
      <c r="D227" s="451"/>
      <c r="E227" s="7"/>
      <c r="F227" s="10"/>
      <c r="G227" s="21"/>
      <c r="H227" s="21"/>
      <c r="I227" s="10"/>
      <c r="J227" s="10"/>
      <c r="K227" s="451"/>
      <c r="L227" s="474"/>
      <c r="M227" s="471"/>
      <c r="N227" s="405"/>
      <c r="O227" s="541"/>
      <c r="P227" s="405"/>
      <c r="Q227" s="405"/>
    </row>
    <row r="228" spans="1:19" s="344" customFormat="1">
      <c r="A228" s="49"/>
      <c r="B228" s="17"/>
      <c r="C228" s="49"/>
      <c r="D228" s="52" t="s">
        <v>76</v>
      </c>
      <c r="E228" s="7"/>
      <c r="F228" s="10"/>
      <c r="G228" s="21"/>
      <c r="H228" s="21"/>
      <c r="I228" s="10"/>
      <c r="J228" s="10"/>
      <c r="K228" s="383"/>
      <c r="L228" s="474"/>
      <c r="M228" s="471"/>
      <c r="N228" s="405"/>
      <c r="O228" s="541"/>
      <c r="P228" s="405"/>
      <c r="Q228" s="405"/>
      <c r="S228" s="344" t="str">
        <f>UPPER(D228)</f>
        <v/>
      </c>
    </row>
    <row r="229" spans="1:19" s="344" customFormat="1">
      <c r="A229" s="45">
        <v>4</v>
      </c>
      <c r="B229" s="16"/>
      <c r="C229" s="45"/>
      <c r="D229" s="52" t="s">
        <v>2103</v>
      </c>
      <c r="E229" s="7"/>
      <c r="F229" s="10"/>
      <c r="G229" s="21"/>
      <c r="H229" s="21"/>
      <c r="I229" s="10"/>
      <c r="J229" s="10"/>
      <c r="K229" s="383"/>
      <c r="L229" s="474"/>
      <c r="M229" s="471"/>
      <c r="N229" s="405"/>
      <c r="O229" s="541"/>
      <c r="P229" s="405"/>
      <c r="Q229" s="405"/>
      <c r="S229" s="344" t="str">
        <f>UPPER(D229)</f>
        <v>PAREDES E PAINÉIS</v>
      </c>
    </row>
    <row r="230" spans="1:19" s="414" customFormat="1">
      <c r="A230" s="410" t="s">
        <v>139</v>
      </c>
      <c r="B230" s="411"/>
      <c r="C230" s="410"/>
      <c r="D230" s="690" t="s">
        <v>2104</v>
      </c>
      <c r="E230" s="617"/>
      <c r="F230" s="413"/>
      <c r="G230" s="422"/>
      <c r="H230" s="422"/>
      <c r="I230" s="413"/>
      <c r="J230" s="413"/>
      <c r="K230" s="498"/>
      <c r="L230" s="474"/>
      <c r="M230" s="471"/>
      <c r="N230" s="419"/>
      <c r="O230" s="541"/>
      <c r="P230" s="419"/>
      <c r="Q230" s="419"/>
      <c r="S230" s="414" t="str">
        <f>UPPER(D230)</f>
        <v>ALVENARIA DE TIJOLOS CERÂMICOS</v>
      </c>
    </row>
    <row r="231" spans="1:19" s="344" customFormat="1" ht="25.5">
      <c r="A231" s="49" t="s">
        <v>138</v>
      </c>
      <c r="B231" s="16">
        <f>'[3]Plan Tron'!B68</f>
        <v>72131</v>
      </c>
      <c r="C231" s="49" t="str">
        <f>'[3]Plan Tron'!C68</f>
        <v>SINAPI</v>
      </c>
      <c r="D231" s="15" t="str">
        <f>'[3]Plan Tron'!D68</f>
        <v>ALVENARIA EM TIJOLO CERAMICO MACICO 5X10X20CM 1 VEZ (ESPESSURA 20CM), ASSENTADO COM ARGAMASSA TRACO 1:2:8 (CIMENTO, CAL E AREIA)</v>
      </c>
      <c r="E231" s="7" t="str">
        <f>'[3]Plan Tron'!E68</f>
        <v>M²</v>
      </c>
      <c r="F231" s="10">
        <v>0.65</v>
      </c>
      <c r="G231" s="21">
        <v>112.91</v>
      </c>
      <c r="H231" s="21">
        <f>'[3]Plan Tron'!F68</f>
        <v>110.93</v>
      </c>
      <c r="I231" s="10">
        <v>26.44</v>
      </c>
      <c r="J231" s="10">
        <f>ROUND(H231*(I231/100+1),2)</f>
        <v>140.26</v>
      </c>
      <c r="K231" s="383">
        <v>0</v>
      </c>
      <c r="L231" s="474">
        <f>F231-K231</f>
        <v>0.65</v>
      </c>
      <c r="M231" s="471">
        <f t="shared" si="17"/>
        <v>91.17</v>
      </c>
      <c r="N231" s="405"/>
      <c r="O231" s="541"/>
      <c r="P231" s="405"/>
      <c r="Q231" s="405"/>
      <c r="S231" s="344" t="str">
        <f>UPPER(D231)</f>
        <v>ALVENARIA EM TIJOLO CERAMICO MACICO 5X10X20CM 1 VEZ (ESPESSURA 20CM), ASSENTADO COM ARGAMASSA TRACO 1:2:8 (CIMENTO, CAL E AREIA)</v>
      </c>
    </row>
    <row r="232" spans="1:19" s="344" customFormat="1">
      <c r="A232" s="49"/>
      <c r="B232" s="17"/>
      <c r="C232" s="49"/>
      <c r="D232" s="451"/>
      <c r="E232" s="7"/>
      <c r="F232" s="10"/>
      <c r="G232" s="21"/>
      <c r="H232" s="21"/>
      <c r="I232" s="10"/>
      <c r="J232" s="10"/>
      <c r="K232" s="451"/>
      <c r="L232" s="474"/>
      <c r="M232" s="471"/>
      <c r="N232" s="405"/>
      <c r="O232" s="541"/>
      <c r="P232" s="405"/>
      <c r="Q232" s="405"/>
    </row>
    <row r="233" spans="1:19" s="344" customFormat="1">
      <c r="A233" s="49"/>
      <c r="B233" s="17"/>
      <c r="C233" s="49"/>
      <c r="D233" s="52" t="s">
        <v>76</v>
      </c>
      <c r="E233" s="7"/>
      <c r="F233" s="10"/>
      <c r="G233" s="21"/>
      <c r="H233" s="21"/>
      <c r="I233" s="10"/>
      <c r="J233" s="10"/>
      <c r="K233" s="383"/>
      <c r="L233" s="474"/>
      <c r="M233" s="471"/>
      <c r="N233" s="405"/>
      <c r="O233" s="541"/>
      <c r="P233" s="405"/>
      <c r="Q233" s="405"/>
      <c r="S233" s="344" t="str">
        <f>UPPER(D233)</f>
        <v/>
      </c>
    </row>
    <row r="234" spans="1:19" s="344" customFormat="1">
      <c r="A234" s="45">
        <v>5</v>
      </c>
      <c r="B234" s="17"/>
      <c r="C234" s="45"/>
      <c r="D234" s="52" t="s">
        <v>2073</v>
      </c>
      <c r="E234" s="7"/>
      <c r="F234" s="10"/>
      <c r="G234" s="21"/>
      <c r="H234" s="21"/>
      <c r="I234" s="10"/>
      <c r="J234" s="10"/>
      <c r="K234" s="383"/>
      <c r="L234" s="474"/>
      <c r="M234" s="471"/>
      <c r="N234" s="405"/>
      <c r="O234" s="541"/>
      <c r="P234" s="405"/>
      <c r="Q234" s="405"/>
      <c r="S234" s="344" t="str">
        <f>UPPER(D234)</f>
        <v>IMPERMEABILIZAÇÕES E PROTEÇÕES DIVERSAS</v>
      </c>
    </row>
    <row r="235" spans="1:19" s="414" customFormat="1">
      <c r="A235" s="650" t="s">
        <v>136</v>
      </c>
      <c r="B235" s="411"/>
      <c r="C235" s="410"/>
      <c r="D235" s="690" t="s">
        <v>2105</v>
      </c>
      <c r="E235" s="617"/>
      <c r="F235" s="422"/>
      <c r="G235" s="422"/>
      <c r="H235" s="422"/>
      <c r="I235" s="413"/>
      <c r="J235" s="413"/>
      <c r="K235" s="498"/>
      <c r="L235" s="474"/>
      <c r="M235" s="471"/>
      <c r="N235" s="419"/>
      <c r="O235" s="541"/>
      <c r="P235" s="419"/>
      <c r="Q235" s="419"/>
      <c r="S235" s="414" t="str">
        <f>UPPER(D235)</f>
        <v>IMPERMEABILIZAÇÃO BETUMINOSA C/EMULSÃO ASFÁLTICA E ACRÍLICA.</v>
      </c>
    </row>
    <row r="236" spans="1:19" s="414" customFormat="1" ht="25.5">
      <c r="A236" s="650" t="s">
        <v>135</v>
      </c>
      <c r="B236" s="411"/>
      <c r="C236" s="410"/>
      <c r="D236" s="690" t="s">
        <v>2106</v>
      </c>
      <c r="E236" s="617"/>
      <c r="F236" s="422"/>
      <c r="G236" s="422"/>
      <c r="H236" s="422"/>
      <c r="I236" s="413"/>
      <c r="J236" s="413"/>
      <c r="K236" s="498"/>
      <c r="L236" s="474"/>
      <c r="M236" s="471"/>
      <c r="N236" s="419"/>
      <c r="O236" s="541"/>
      <c r="P236" s="419"/>
      <c r="Q236" s="419"/>
      <c r="S236" s="414" t="str">
        <f>UPPER(D236)</f>
        <v>IMPERMEABEALIZAÇÃO DE FUNDAÇÕES/ BALDRAMES/ MUROS DE ARRIMO/ALICERCES E REVEST.EM CONTATO C/SOLO - UTILIZ. TINTA BETUMINOSA TIPO NEUTROLIN / DUAS DEMÃOS.</v>
      </c>
    </row>
    <row r="237" spans="1:19" s="344" customFormat="1">
      <c r="A237" s="55" t="s">
        <v>134</v>
      </c>
      <c r="B237" s="49" t="str">
        <f>'[3]Plan Tron'!B71</f>
        <v>74106/001</v>
      </c>
      <c r="C237" s="49" t="str">
        <f>'[3]Plan Tron'!C71</f>
        <v>SINAPI</v>
      </c>
      <c r="D237" s="15" t="str">
        <f>'[3]Plan Tron'!D71</f>
        <v>IMPERMEABILIZACAO DE ESTRUTURAS ENTERRADAS,COM TINTA ASFALTICA, DUAS DEMÃOS.</v>
      </c>
      <c r="E237" s="7" t="str">
        <f>'[3]Plan Tron'!E71</f>
        <v>M²</v>
      </c>
      <c r="F237" s="21">
        <v>50.27</v>
      </c>
      <c r="G237" s="21">
        <v>6.65</v>
      </c>
      <c r="H237" s="21">
        <f>'[3]Plan Tron'!F71</f>
        <v>9.2899999999999991</v>
      </c>
      <c r="I237" s="10">
        <v>26.44</v>
      </c>
      <c r="J237" s="10">
        <f>ROUND(H237*(I237/100+1),2)</f>
        <v>11.75</v>
      </c>
      <c r="K237" s="383">
        <v>0</v>
      </c>
      <c r="L237" s="474">
        <f>F237-K237</f>
        <v>50.27</v>
      </c>
      <c r="M237" s="471">
        <f t="shared" si="17"/>
        <v>590.66999999999996</v>
      </c>
      <c r="N237" s="405"/>
      <c r="O237" s="541"/>
      <c r="P237" s="405"/>
      <c r="Q237" s="405"/>
      <c r="S237" s="344" t="str">
        <f>UPPER(D237)</f>
        <v>IMPERMEABILIZACAO DE ESTRUTURAS ENTERRADAS,COM TINTA ASFALTICA, DUAS DEMÃOS.</v>
      </c>
    </row>
    <row r="238" spans="1:19" s="344" customFormat="1">
      <c r="A238" s="49"/>
      <c r="B238" s="17"/>
      <c r="C238" s="49"/>
      <c r="D238" s="451"/>
      <c r="E238" s="7"/>
      <c r="F238" s="10"/>
      <c r="G238" s="10"/>
      <c r="H238" s="10"/>
      <c r="I238" s="10"/>
      <c r="J238" s="10"/>
      <c r="K238" s="451"/>
      <c r="L238" s="474"/>
      <c r="M238" s="471"/>
      <c r="N238" s="405"/>
      <c r="O238" s="541"/>
      <c r="P238" s="405"/>
      <c r="Q238" s="405"/>
    </row>
    <row r="239" spans="1:19" s="344" customFormat="1">
      <c r="A239" s="49"/>
      <c r="B239" s="17"/>
      <c r="C239" s="49"/>
      <c r="D239" s="52" t="s">
        <v>76</v>
      </c>
      <c r="E239" s="7"/>
      <c r="F239" s="10"/>
      <c r="G239" s="21"/>
      <c r="H239" s="21"/>
      <c r="I239" s="10"/>
      <c r="J239" s="10"/>
      <c r="K239" s="383"/>
      <c r="L239" s="474"/>
      <c r="M239" s="471"/>
      <c r="N239" s="405"/>
      <c r="O239" s="541"/>
      <c r="P239" s="405"/>
      <c r="Q239" s="405"/>
      <c r="S239" s="344" t="str">
        <f>UPPER(D239)</f>
        <v/>
      </c>
    </row>
    <row r="240" spans="1:19" s="344" customFormat="1">
      <c r="A240" s="59">
        <v>6</v>
      </c>
      <c r="B240" s="65"/>
      <c r="C240" s="59"/>
      <c r="D240" s="396" t="s">
        <v>2107</v>
      </c>
      <c r="E240" s="18"/>
      <c r="F240" s="20"/>
      <c r="G240" s="51"/>
      <c r="H240" s="51"/>
      <c r="I240" s="10"/>
      <c r="J240" s="10"/>
      <c r="K240" s="383"/>
      <c r="L240" s="474"/>
      <c r="M240" s="471"/>
      <c r="N240" s="405"/>
      <c r="O240" s="541"/>
      <c r="P240" s="405"/>
      <c r="Q240" s="405"/>
      <c r="S240" s="344" t="str">
        <f>UPPER(D240)</f>
        <v>PINTURAS</v>
      </c>
    </row>
    <row r="241" spans="1:37" s="414" customFormat="1">
      <c r="A241" s="650" t="s">
        <v>120</v>
      </c>
      <c r="B241" s="411"/>
      <c r="C241" s="410"/>
      <c r="D241" s="690" t="s">
        <v>2108</v>
      </c>
      <c r="E241" s="617"/>
      <c r="F241" s="422"/>
      <c r="G241" s="422"/>
      <c r="H241" s="422"/>
      <c r="I241" s="413"/>
      <c r="J241" s="413"/>
      <c r="K241" s="498"/>
      <c r="L241" s="474"/>
      <c r="M241" s="471"/>
      <c r="N241" s="419"/>
      <c r="O241" s="541"/>
      <c r="P241" s="419"/>
      <c r="Q241" s="419"/>
      <c r="S241" s="414" t="str">
        <f>UPPER(D241)</f>
        <v>PINTURA DE PAREDE</v>
      </c>
    </row>
    <row r="242" spans="1:37" s="344" customFormat="1">
      <c r="A242" s="55" t="s">
        <v>119</v>
      </c>
      <c r="B242" s="49" t="str">
        <f>'[3]Plan Tron'!B72</f>
        <v xml:space="preserve">88489 </v>
      </c>
      <c r="C242" s="49" t="str">
        <f>'[3]Plan Tron'!C72</f>
        <v>SINAPI</v>
      </c>
      <c r="D242" s="15" t="str">
        <f>'[3]Plan Tron'!D72</f>
        <v>APLICAÇÃO MANUAL DE PINTURA COM TINTA LÁTEX ACRÍLICA EM PAREDES, DUAS DEMÃOS. AF_06/2014</v>
      </c>
      <c r="E242" s="7" t="str">
        <f>'[3]Plan Tron'!E72</f>
        <v>M²</v>
      </c>
      <c r="F242" s="21">
        <v>38.950000000000003</v>
      </c>
      <c r="G242" s="21">
        <v>11.65</v>
      </c>
      <c r="H242" s="21">
        <f>'[3]Plan Tron'!F72</f>
        <v>9.69</v>
      </c>
      <c r="I242" s="10">
        <v>26.44</v>
      </c>
      <c r="J242" s="10">
        <f>ROUND(H242*(I242/100+1),2)</f>
        <v>12.25</v>
      </c>
      <c r="K242" s="383">
        <v>0</v>
      </c>
      <c r="L242" s="474">
        <f>F242-K242</f>
        <v>38.950000000000003</v>
      </c>
      <c r="M242" s="471">
        <f t="shared" si="17"/>
        <v>477.14</v>
      </c>
      <c r="N242" s="405"/>
      <c r="O242" s="541"/>
      <c r="P242" s="405"/>
      <c r="Q242" s="405"/>
      <c r="S242" s="344" t="str">
        <f>UPPER(D242)</f>
        <v>APLICAÇÃO MANUAL DE PINTURA COM TINTA LÁTEX ACRÍLICA EM PAREDES, DUAS DEMÃOS. AF_06/2014</v>
      </c>
    </row>
    <row r="243" spans="1:37">
      <c r="A243" s="49"/>
      <c r="B243" s="17"/>
      <c r="C243" s="49"/>
      <c r="D243" s="110"/>
      <c r="E243" s="7"/>
      <c r="F243" s="10"/>
      <c r="G243" s="303"/>
      <c r="H243" s="10"/>
      <c r="I243" s="10"/>
      <c r="J243" s="10"/>
      <c r="K243" s="110"/>
      <c r="L243" s="474"/>
      <c r="M243" s="471"/>
      <c r="N243" s="405"/>
      <c r="O243" s="541"/>
      <c r="P243" s="405"/>
      <c r="Q243" s="405"/>
    </row>
    <row r="244" spans="1:37">
      <c r="A244" s="49"/>
      <c r="B244" s="17"/>
      <c r="C244" s="49"/>
      <c r="D244" s="396" t="s">
        <v>76</v>
      </c>
      <c r="E244" s="7"/>
      <c r="F244" s="10"/>
      <c r="G244" s="303"/>
      <c r="H244" s="10"/>
      <c r="I244" s="10"/>
      <c r="J244" s="10"/>
      <c r="K244" s="383"/>
      <c r="L244" s="474"/>
      <c r="M244" s="471"/>
      <c r="N244" s="405"/>
      <c r="O244" s="541"/>
      <c r="P244" s="405"/>
      <c r="Q244" s="405"/>
      <c r="S244" s="344" t="str">
        <f>UPPER(D244)</f>
        <v/>
      </c>
    </row>
    <row r="245" spans="1:37">
      <c r="A245" s="67">
        <v>7</v>
      </c>
      <c r="B245" s="68"/>
      <c r="C245" s="67"/>
      <c r="D245" s="398" t="s">
        <v>2109</v>
      </c>
      <c r="E245" s="32"/>
      <c r="F245" s="8"/>
      <c r="G245" s="62"/>
      <c r="H245" s="62"/>
      <c r="I245" s="10"/>
      <c r="J245" s="10"/>
      <c r="K245" s="383"/>
      <c r="L245" s="474"/>
      <c r="M245" s="471"/>
      <c r="N245" s="405"/>
      <c r="O245" s="541"/>
      <c r="P245" s="405"/>
      <c r="Q245" s="405"/>
      <c r="S245" s="344" t="str">
        <f>UPPER(D245)</f>
        <v>MONTAGEM DE MATERIAIS E EQUIPAMENTOS HIDRÁULICOS, HIDROMECÂNICOS E DIVERSOS</v>
      </c>
    </row>
    <row r="246" spans="1:37" s="344" customFormat="1" ht="25.5">
      <c r="A246" s="69" t="s">
        <v>109</v>
      </c>
      <c r="B246" s="11" t="s">
        <v>308</v>
      </c>
      <c r="C246" s="69"/>
      <c r="D246" s="84" t="s">
        <v>2110</v>
      </c>
      <c r="E246" s="24" t="s">
        <v>2339</v>
      </c>
      <c r="F246" s="10">
        <v>1</v>
      </c>
      <c r="G246" s="21">
        <v>3320.2400000000002</v>
      </c>
      <c r="H246" s="9">
        <f t="shared" ref="H246" si="19">G246*$P$7</f>
        <v>3835.8732720000003</v>
      </c>
      <c r="I246" s="10">
        <v>26.44</v>
      </c>
      <c r="J246" s="10">
        <f>ROUND(H246*(I246/100+1),2)</f>
        <v>4850.08</v>
      </c>
      <c r="K246" s="383">
        <v>0</v>
      </c>
      <c r="L246" s="474">
        <f>F246-K246</f>
        <v>1</v>
      </c>
      <c r="M246" s="471">
        <f t="shared" si="17"/>
        <v>4850.08</v>
      </c>
      <c r="N246" s="405"/>
      <c r="O246" s="541"/>
      <c r="P246" s="405"/>
      <c r="Q246" s="405"/>
      <c r="S246" s="344" t="str">
        <f>UPPER(D246)</f>
        <v>MONTAGEM HIDRÁULICA E HIDROMECÂNICA DE EQUIPAMENTOS, VÁLVULAS, TUBOS, PEÇAS E ACESSÓRIOS DA LISTA DE MATERIAL DA ESTRUTURA DE ENTRADA.</v>
      </c>
    </row>
    <row r="247" spans="1:37">
      <c r="A247" s="70"/>
      <c r="B247" s="111"/>
      <c r="C247" s="70"/>
      <c r="D247" s="111"/>
      <c r="E247" s="32"/>
      <c r="F247" s="8"/>
      <c r="G247" s="8"/>
      <c r="H247" s="8"/>
      <c r="I247" s="8"/>
      <c r="J247" s="10"/>
      <c r="K247" s="111"/>
      <c r="L247" s="474"/>
      <c r="M247" s="472"/>
      <c r="N247" s="405"/>
      <c r="O247" s="541"/>
      <c r="P247" s="405"/>
      <c r="Q247" s="405"/>
    </row>
    <row r="248" spans="1:37">
      <c r="A248" s="70"/>
      <c r="B248" s="111"/>
      <c r="C248" s="70"/>
      <c r="D248" s="89"/>
      <c r="E248" s="32"/>
      <c r="F248" s="8"/>
      <c r="G248" s="8"/>
      <c r="H248" s="8"/>
      <c r="I248" s="8"/>
      <c r="J248" s="10"/>
      <c r="K248" s="111"/>
      <c r="L248" s="474"/>
      <c r="M248" s="471"/>
      <c r="N248" s="405"/>
      <c r="O248" s="541"/>
      <c r="P248" s="405"/>
      <c r="Q248" s="405"/>
    </row>
    <row r="249" spans="1:37" s="299" customFormat="1">
      <c r="A249" s="340"/>
      <c r="B249" s="338"/>
      <c r="C249" s="338"/>
      <c r="D249" s="511" t="s">
        <v>2352</v>
      </c>
      <c r="E249" s="340"/>
      <c r="F249" s="338"/>
      <c r="G249" s="338"/>
      <c r="H249" s="338"/>
      <c r="I249" s="338"/>
      <c r="J249" s="338"/>
      <c r="K249" s="511"/>
      <c r="L249" s="476"/>
      <c r="M249" s="505">
        <f>SUM(M196:M247)</f>
        <v>30581.109999999993</v>
      </c>
      <c r="N249" s="405"/>
      <c r="O249" s="541"/>
      <c r="P249" s="405"/>
      <c r="Q249" s="405"/>
      <c r="R249" s="388"/>
      <c r="S249" s="344" t="str">
        <f>UPPER(D249)</f>
        <v xml:space="preserve">TOTAL ITEM 6 </v>
      </c>
      <c r="T249" s="388"/>
      <c r="U249" s="388"/>
      <c r="V249" s="388"/>
      <c r="W249" s="388"/>
      <c r="X249" s="388"/>
      <c r="Y249" s="388"/>
      <c r="Z249" s="388"/>
      <c r="AA249" s="388"/>
      <c r="AB249" s="388"/>
      <c r="AC249" s="388"/>
      <c r="AD249" s="388"/>
      <c r="AE249" s="388"/>
      <c r="AF249" s="388"/>
      <c r="AG249" s="388"/>
      <c r="AH249" s="388"/>
      <c r="AI249" s="388"/>
      <c r="AJ249" s="388"/>
      <c r="AK249" s="388"/>
    </row>
    <row r="250" spans="1:37" s="299" customFormat="1">
      <c r="A250" s="340"/>
      <c r="B250" s="338"/>
      <c r="C250" s="338"/>
      <c r="D250" s="439"/>
      <c r="E250" s="340"/>
      <c r="F250" s="338"/>
      <c r="G250" s="338"/>
      <c r="H250" s="338"/>
      <c r="I250" s="338"/>
      <c r="J250" s="338"/>
      <c r="K250" s="341"/>
      <c r="L250" s="474"/>
      <c r="M250" s="471"/>
      <c r="N250" s="405"/>
      <c r="O250" s="541"/>
      <c r="P250" s="405"/>
      <c r="Q250" s="405"/>
      <c r="R250" s="388"/>
      <c r="S250" s="344"/>
      <c r="T250" s="388"/>
      <c r="U250" s="388"/>
      <c r="V250" s="388"/>
      <c r="W250" s="388"/>
      <c r="X250" s="388"/>
      <c r="Y250" s="388"/>
      <c r="Z250" s="388"/>
      <c r="AA250" s="388"/>
      <c r="AB250" s="388"/>
      <c r="AC250" s="388"/>
      <c r="AD250" s="388"/>
      <c r="AE250" s="388"/>
      <c r="AF250" s="388"/>
      <c r="AG250" s="388"/>
      <c r="AH250" s="388"/>
      <c r="AI250" s="388"/>
      <c r="AJ250" s="388"/>
      <c r="AK250" s="388"/>
    </row>
    <row r="251" spans="1:37" s="450" customFormat="1">
      <c r="A251" s="445">
        <v>8</v>
      </c>
      <c r="B251" s="446"/>
      <c r="C251" s="447"/>
      <c r="D251" s="448" t="s">
        <v>1960</v>
      </c>
      <c r="E251" s="453" t="s">
        <v>76</v>
      </c>
      <c r="F251" s="446"/>
      <c r="G251" s="446"/>
      <c r="H251" s="446"/>
      <c r="I251" s="446"/>
      <c r="J251" s="446"/>
      <c r="K251" s="473"/>
      <c r="L251" s="478"/>
      <c r="M251" s="479"/>
      <c r="N251" s="454"/>
      <c r="O251" s="541"/>
      <c r="P251" s="454"/>
      <c r="Q251" s="454"/>
      <c r="S251" s="450" t="str">
        <f t="shared" ref="S251:S262" si="20">UPPER(D251)</f>
        <v>ESTRUTURA DE CHEGADA</v>
      </c>
    </row>
    <row r="252" spans="1:37" s="344" customFormat="1">
      <c r="A252" s="45">
        <v>1</v>
      </c>
      <c r="B252" s="25"/>
      <c r="C252" s="45"/>
      <c r="D252" s="397" t="s">
        <v>2038</v>
      </c>
      <c r="E252" s="24" t="s">
        <v>76</v>
      </c>
      <c r="F252" s="21"/>
      <c r="G252" s="10"/>
      <c r="H252" s="10"/>
      <c r="I252" s="10"/>
      <c r="J252" s="10"/>
      <c r="K252" s="383"/>
      <c r="L252" s="474"/>
      <c r="M252" s="471"/>
      <c r="N252" s="405"/>
      <c r="O252" s="541"/>
      <c r="P252" s="405"/>
      <c r="Q252" s="405"/>
      <c r="S252" s="344" t="str">
        <f t="shared" si="20"/>
        <v>MOVIMENTO DE TERRA</v>
      </c>
    </row>
    <row r="253" spans="1:37" s="414" customFormat="1">
      <c r="A253" s="410" t="s">
        <v>20</v>
      </c>
      <c r="B253" s="411"/>
      <c r="C253" s="410"/>
      <c r="D253" s="613" t="s">
        <v>2041</v>
      </c>
      <c r="E253" s="424" t="s">
        <v>76</v>
      </c>
      <c r="F253" s="422"/>
      <c r="G253" s="413"/>
      <c r="H253" s="413"/>
      <c r="I253" s="413"/>
      <c r="J253" s="413"/>
      <c r="K253" s="498"/>
      <c r="L253" s="474"/>
      <c r="M253" s="471"/>
      <c r="N253" s="419"/>
      <c r="O253" s="541"/>
      <c r="P253" s="419"/>
      <c r="Q253" s="419"/>
      <c r="S253" s="414" t="str">
        <f t="shared" si="20"/>
        <v>ESCAVAÇÃO DE VALAS</v>
      </c>
    </row>
    <row r="254" spans="1:37" s="414" customFormat="1">
      <c r="A254" s="410" t="s">
        <v>153</v>
      </c>
      <c r="B254" s="411"/>
      <c r="C254" s="410"/>
      <c r="D254" s="613" t="s">
        <v>2042</v>
      </c>
      <c r="E254" s="424" t="s">
        <v>76</v>
      </c>
      <c r="F254" s="422"/>
      <c r="G254" s="413"/>
      <c r="H254" s="413"/>
      <c r="I254" s="413"/>
      <c r="J254" s="413"/>
      <c r="K254" s="498"/>
      <c r="L254" s="474"/>
      <c r="M254" s="471"/>
      <c r="N254" s="419"/>
      <c r="O254" s="541"/>
      <c r="P254" s="419"/>
      <c r="Q254" s="419"/>
      <c r="S254" s="414" t="str">
        <f t="shared" si="20"/>
        <v>ESCAVAÇÃO MECÂNICA DE CAVAS</v>
      </c>
    </row>
    <row r="255" spans="1:37" s="344" customFormat="1" ht="12.75" customHeight="1">
      <c r="A255" s="49" t="s">
        <v>152</v>
      </c>
      <c r="B255" s="332">
        <f>'[3]Plan Tron'!B7</f>
        <v>60202</v>
      </c>
      <c r="C255" s="332" t="str">
        <f>'[3]Plan Tron'!C7</f>
        <v>CPOS</v>
      </c>
      <c r="D255" s="26" t="str">
        <f>'[3]Plan Tron'!D7</f>
        <v xml:space="preserve">ESCAVAÇÃO MANUAL EM SOLO DE 1ª E 2ª CATEGORIA EM VALA OU CAVA ATÉ 1,50M </v>
      </c>
      <c r="E255" s="77" t="str">
        <f>'[3]Plan Tron'!E7</f>
        <v>M³</v>
      </c>
      <c r="F255" s="21">
        <v>125.58</v>
      </c>
      <c r="G255" s="10">
        <f>H196</f>
        <v>34.020000000000003</v>
      </c>
      <c r="H255" s="10">
        <f>'[3]Plan Tron'!F7</f>
        <v>34.020000000000003</v>
      </c>
      <c r="I255" s="10">
        <v>26.44</v>
      </c>
      <c r="J255" s="10">
        <f>ROUND(H255*(I255/100+1),2)</f>
        <v>43.01</v>
      </c>
      <c r="K255" s="383">
        <v>0</v>
      </c>
      <c r="L255" s="474">
        <f>F255-K255</f>
        <v>125.58</v>
      </c>
      <c r="M255" s="471">
        <f t="shared" ref="M255:M297" si="21">ROUND(L255*J255,2)</f>
        <v>5401.2</v>
      </c>
      <c r="N255" s="405"/>
      <c r="O255" s="541"/>
      <c r="P255" s="405"/>
      <c r="Q255" s="405"/>
      <c r="S255" s="344" t="str">
        <f t="shared" si="20"/>
        <v xml:space="preserve">ESCAVAÇÃO MANUAL EM SOLO DE 1ª E 2ª CATEGORIA EM VALA OU CAVA ATÉ 1,50M </v>
      </c>
    </row>
    <row r="256" spans="1:37" s="344" customFormat="1" ht="12" customHeight="1">
      <c r="A256" s="49" t="s">
        <v>320</v>
      </c>
      <c r="B256" s="332">
        <f>'[3]Plan Tron'!B8</f>
        <v>60204</v>
      </c>
      <c r="C256" s="332" t="str">
        <f>'[3]Plan Tron'!C8</f>
        <v>CPOS</v>
      </c>
      <c r="D256" s="26" t="str">
        <f>'[3]Plan Tron'!D8</f>
        <v>ESCAVAÇÃO MANUAL EM SOLO DE 1ª E 2ª CATEGORIA EM VALA OU CAVA DE 1,5M A 3M</v>
      </c>
      <c r="E256" s="77" t="str">
        <f>'[3]Plan Tron'!E8</f>
        <v>M³</v>
      </c>
      <c r="F256" s="21">
        <v>27.98</v>
      </c>
      <c r="G256" s="10">
        <f>H197</f>
        <v>44</v>
      </c>
      <c r="H256" s="10">
        <f>'[3]Plan Tron'!F8</f>
        <v>44</v>
      </c>
      <c r="I256" s="10">
        <v>26.44</v>
      </c>
      <c r="J256" s="10">
        <f>ROUND(H256*(I256/100+1),2)</f>
        <v>55.63</v>
      </c>
      <c r="K256" s="383">
        <v>0</v>
      </c>
      <c r="L256" s="474">
        <f>F256-K256</f>
        <v>27.98</v>
      </c>
      <c r="M256" s="471">
        <f t="shared" si="21"/>
        <v>1556.53</v>
      </c>
      <c r="N256" s="405"/>
      <c r="O256" s="541"/>
      <c r="P256" s="405"/>
      <c r="Q256" s="405"/>
      <c r="S256" s="344" t="str">
        <f t="shared" si="20"/>
        <v>ESCAVAÇÃO MANUAL EM SOLO DE 1ª E 2ª CATEGORIA EM VALA OU CAVA DE 1,5M A 3M</v>
      </c>
    </row>
    <row r="257" spans="1:19" s="414" customFormat="1">
      <c r="A257" s="410" t="s">
        <v>19</v>
      </c>
      <c r="B257" s="411"/>
      <c r="C257" s="410"/>
      <c r="D257" s="613" t="s">
        <v>2111</v>
      </c>
      <c r="E257" s="424" t="s">
        <v>76</v>
      </c>
      <c r="F257" s="422"/>
      <c r="G257" s="413"/>
      <c r="H257" s="413"/>
      <c r="I257" s="413"/>
      <c r="J257" s="413"/>
      <c r="K257" s="498"/>
      <c r="L257" s="476"/>
      <c r="M257" s="471"/>
      <c r="N257" s="419"/>
      <c r="O257" s="620"/>
      <c r="P257" s="419"/>
      <c r="Q257" s="419"/>
      <c r="S257" s="414" t="str">
        <f t="shared" si="20"/>
        <v>ATERRO / REATERRO DE VALAS COM OU S/ COMPACTAÇÃO.</v>
      </c>
    </row>
    <row r="258" spans="1:19" s="414" customFormat="1">
      <c r="A258" s="410" t="s">
        <v>147</v>
      </c>
      <c r="B258" s="411"/>
      <c r="C258" s="410"/>
      <c r="D258" s="613" t="s">
        <v>2045</v>
      </c>
      <c r="E258" s="424" t="s">
        <v>76</v>
      </c>
      <c r="F258" s="422"/>
      <c r="G258" s="413"/>
      <c r="H258" s="413"/>
      <c r="I258" s="413"/>
      <c r="J258" s="413"/>
      <c r="K258" s="498"/>
      <c r="L258" s="476"/>
      <c r="M258" s="471"/>
      <c r="N258" s="419"/>
      <c r="O258" s="620"/>
      <c r="P258" s="419"/>
      <c r="Q258" s="419"/>
      <c r="S258" s="414" t="str">
        <f t="shared" si="20"/>
        <v>REATERRO DE VALAS</v>
      </c>
    </row>
    <row r="259" spans="1:19" s="344" customFormat="1">
      <c r="A259" s="49" t="s">
        <v>146</v>
      </c>
      <c r="B259" s="49" t="str">
        <f>'[3]Plan Tron'!B12</f>
        <v xml:space="preserve">73964/006 </v>
      </c>
      <c r="C259" s="49" t="str">
        <f>'[3]Plan Tron'!C12</f>
        <v>SINAPI</v>
      </c>
      <c r="D259" s="26" t="str">
        <f>'[3]Plan Tron'!D12</f>
        <v xml:space="preserve">REATERRO DE VALA COM COMPACTAÇÃO MANUAL </v>
      </c>
      <c r="E259" s="77" t="str">
        <f>'[3]Plan Tron'!E12</f>
        <v>M³</v>
      </c>
      <c r="F259" s="21">
        <v>149.06</v>
      </c>
      <c r="G259" s="10">
        <v>20.67</v>
      </c>
      <c r="H259" s="10">
        <f>'[3]Plan Tron'!F12</f>
        <v>49.62</v>
      </c>
      <c r="I259" s="10">
        <v>26.44</v>
      </c>
      <c r="J259" s="10">
        <f>ROUND(H259*(I259/100+1),2)</f>
        <v>62.74</v>
      </c>
      <c r="K259" s="383">
        <v>0</v>
      </c>
      <c r="L259" s="474">
        <f>F259-K259</f>
        <v>149.06</v>
      </c>
      <c r="M259" s="471">
        <f t="shared" si="21"/>
        <v>9352.02</v>
      </c>
      <c r="N259" s="405"/>
      <c r="O259" s="541"/>
      <c r="P259" s="405"/>
      <c r="Q259" s="405"/>
      <c r="S259" s="344" t="str">
        <f t="shared" si="20"/>
        <v xml:space="preserve">REATERRO DE VALA COM COMPACTAÇÃO MANUAL </v>
      </c>
    </row>
    <row r="260" spans="1:19" s="414" customFormat="1">
      <c r="A260" s="410" t="s">
        <v>18</v>
      </c>
      <c r="B260" s="411"/>
      <c r="C260" s="410"/>
      <c r="D260" s="613" t="s">
        <v>2046</v>
      </c>
      <c r="E260" s="424" t="s">
        <v>76</v>
      </c>
      <c r="F260" s="422"/>
      <c r="G260" s="413"/>
      <c r="H260" s="413"/>
      <c r="I260" s="413"/>
      <c r="J260" s="413"/>
      <c r="K260" s="498"/>
      <c r="L260" s="474"/>
      <c r="M260" s="471"/>
      <c r="N260" s="419"/>
      <c r="O260" s="541"/>
      <c r="P260" s="419"/>
      <c r="Q260" s="419"/>
      <c r="S260" s="414" t="str">
        <f t="shared" si="20"/>
        <v>CARGA, DESCARGA E/OU TRANSPORTE DE MATERIAIS</v>
      </c>
    </row>
    <row r="261" spans="1:19" s="344" customFormat="1">
      <c r="A261" s="49" t="s">
        <v>201</v>
      </c>
      <c r="B261" s="49">
        <f>'[3]Plan Tron'!B13</f>
        <v>72885</v>
      </c>
      <c r="C261" s="49" t="str">
        <f>'[3]Plan Tron'!C13</f>
        <v>SINAPI</v>
      </c>
      <c r="D261" s="612" t="str">
        <f>'[3]Plan Tron'!D13</f>
        <v>TRANSPORTE COMERCIAL COM CAMINHAO BASCULANTE 6 M3, RODOVIA EM LEITO NATURAL</v>
      </c>
      <c r="E261" s="49" t="str">
        <f>'[3]Plan Tron'!E13</f>
        <v>M³ X KM</v>
      </c>
      <c r="F261" s="21">
        <v>22.52</v>
      </c>
      <c r="G261" s="10">
        <v>1.03</v>
      </c>
      <c r="H261" s="10">
        <f>'[3]Plan Tron'!F13</f>
        <v>1.37</v>
      </c>
      <c r="I261" s="10">
        <v>26.44</v>
      </c>
      <c r="J261" s="10">
        <f>ROUND(H261*(I261/100+1),2)</f>
        <v>1.73</v>
      </c>
      <c r="K261" s="383">
        <v>0</v>
      </c>
      <c r="L261" s="474">
        <f>F261-K261</f>
        <v>22.52</v>
      </c>
      <c r="M261" s="471">
        <f t="shared" si="21"/>
        <v>38.96</v>
      </c>
      <c r="N261" s="405"/>
      <c r="O261" s="541"/>
      <c r="P261" s="405"/>
      <c r="Q261" s="405"/>
      <c r="S261" s="344" t="str">
        <f t="shared" si="20"/>
        <v>TRANSPORTE COMERCIAL COM CAMINHAO BASCULANTE 6 M3, RODOVIA EM LEITO NATURAL</v>
      </c>
    </row>
    <row r="262" spans="1:19" s="344" customFormat="1" ht="25.5">
      <c r="A262" s="49" t="s">
        <v>198</v>
      </c>
      <c r="B262" s="49">
        <f>'[3]Plan Tron'!B14</f>
        <v>72888</v>
      </c>
      <c r="C262" s="49" t="str">
        <f>'[3]Plan Tron'!C14</f>
        <v>SINAPI</v>
      </c>
      <c r="D262" s="614" t="str">
        <f>'[3]Plan Tron'!D14</f>
        <v>CARGA, MANOBRAS E DESCARGA DE AREIA, BRITA, PEDRA DE MAO E SOLOS COM CAMINHAO BASCULANTE 6 M3 (DESCARGA LIVRE)</v>
      </c>
      <c r="E262" s="49" t="str">
        <f>'[3]Plan Tron'!E14</f>
        <v>M³</v>
      </c>
      <c r="F262" s="21">
        <v>4.5</v>
      </c>
      <c r="G262" s="10">
        <v>0.81</v>
      </c>
      <c r="H262" s="10">
        <f>'[3]Plan Tron'!F14</f>
        <v>0.96</v>
      </c>
      <c r="I262" s="10">
        <v>26.44</v>
      </c>
      <c r="J262" s="10">
        <f>ROUND(H262*(I262/100+1),2)</f>
        <v>1.21</v>
      </c>
      <c r="K262" s="383">
        <v>0</v>
      </c>
      <c r="L262" s="474">
        <f>F262-K262</f>
        <v>4.5</v>
      </c>
      <c r="M262" s="471">
        <f t="shared" si="21"/>
        <v>5.45</v>
      </c>
      <c r="N262" s="405"/>
      <c r="O262" s="541"/>
      <c r="P262" s="405"/>
      <c r="Q262" s="405"/>
      <c r="S262" s="344" t="str">
        <f t="shared" si="20"/>
        <v>CARGA, MANOBRAS E DESCARGA DE AREIA, BRITA, PEDRA DE MAO E SOLOS COM CAMINHAO BASCULANTE 6 M3 (DESCARGA LIVRE)</v>
      </c>
    </row>
    <row r="263" spans="1:19" s="344" customFormat="1">
      <c r="A263" s="49"/>
      <c r="B263" s="17"/>
      <c r="C263" s="49"/>
      <c r="D263" s="451"/>
      <c r="E263" s="7"/>
      <c r="F263" s="10"/>
      <c r="G263" s="21"/>
      <c r="H263" s="21"/>
      <c r="I263" s="10"/>
      <c r="J263" s="10"/>
      <c r="K263" s="451"/>
      <c r="L263" s="474"/>
      <c r="M263" s="471"/>
      <c r="N263" s="405"/>
      <c r="O263" s="541"/>
      <c r="P263" s="405"/>
      <c r="Q263" s="405"/>
    </row>
    <row r="264" spans="1:19" s="344" customFormat="1">
      <c r="A264" s="49"/>
      <c r="B264" s="17"/>
      <c r="C264" s="49"/>
      <c r="D264" s="52" t="s">
        <v>76</v>
      </c>
      <c r="E264" s="7"/>
      <c r="F264" s="10"/>
      <c r="G264" s="21"/>
      <c r="H264" s="21"/>
      <c r="I264" s="10"/>
      <c r="J264" s="10"/>
      <c r="K264" s="383"/>
      <c r="L264" s="474"/>
      <c r="M264" s="471"/>
      <c r="N264" s="405"/>
      <c r="O264" s="541"/>
      <c r="P264" s="405"/>
      <c r="Q264" s="405"/>
      <c r="S264" s="344" t="str">
        <f t="shared" ref="S264:S282" si="22">UPPER(D264)</f>
        <v/>
      </c>
    </row>
    <row r="265" spans="1:19" s="344" customFormat="1">
      <c r="A265" s="45">
        <v>2</v>
      </c>
      <c r="B265" s="23"/>
      <c r="C265" s="45"/>
      <c r="D265" s="397" t="s">
        <v>2054</v>
      </c>
      <c r="E265" s="24"/>
      <c r="F265" s="21"/>
      <c r="G265" s="10"/>
      <c r="H265" s="10"/>
      <c r="I265" s="10"/>
      <c r="J265" s="10"/>
      <c r="K265" s="383"/>
      <c r="L265" s="474"/>
      <c r="M265" s="471"/>
      <c r="N265" s="405"/>
      <c r="O265" s="541"/>
      <c r="P265" s="405"/>
      <c r="Q265" s="405"/>
      <c r="S265" s="344" t="str">
        <f t="shared" si="22"/>
        <v>FUNDAÇÕES E ESTRUTURAS</v>
      </c>
    </row>
    <row r="266" spans="1:19" s="414" customFormat="1" hidden="1">
      <c r="A266" s="410" t="s">
        <v>9</v>
      </c>
      <c r="B266" s="425"/>
      <c r="C266" s="410"/>
      <c r="D266" s="420" t="s">
        <v>2112</v>
      </c>
      <c r="E266" s="424"/>
      <c r="F266" s="422"/>
      <c r="G266" s="413"/>
      <c r="H266" s="413"/>
      <c r="I266" s="413"/>
      <c r="J266" s="413"/>
      <c r="K266" s="498"/>
      <c r="L266" s="474"/>
      <c r="M266" s="471"/>
      <c r="N266" s="419"/>
      <c r="O266" s="541"/>
      <c r="P266" s="419"/>
      <c r="Q266" s="419"/>
      <c r="S266" s="414" t="str">
        <f t="shared" si="22"/>
        <v>ESTACAS</v>
      </c>
    </row>
    <row r="267" spans="1:19" s="344" customFormat="1" ht="25.5" hidden="1">
      <c r="A267" s="49" t="s">
        <v>348</v>
      </c>
      <c r="B267" s="762">
        <f>'[3]Plan Tron'!B73</f>
        <v>90808</v>
      </c>
      <c r="C267" s="762" t="str">
        <f>'[3]Plan Tron'!C73</f>
        <v>SINAPI</v>
      </c>
      <c r="D267" s="167" t="str">
        <f>'[3]Plan Tron'!D73</f>
        <v>ESTACA HÉLICE CONTÍNUA, DIÂMETRO DE 30 CM, COMPRIMENTO TOTAL ATÉ 15 M, PERFURATRIZ COM TORQUE DE 170 KN.M (EXCLUSIVE MOBILIZAÇÃO E DESMOBILIZAÇÃO). AF_02/2015</v>
      </c>
      <c r="E267" s="28" t="str">
        <f>'[3]Plan Tron'!E73</f>
        <v>M</v>
      </c>
      <c r="F267" s="21">
        <v>120</v>
      </c>
      <c r="G267" s="10">
        <v>21</v>
      </c>
      <c r="H267" s="10">
        <f>'[3]Plan Tron'!F73</f>
        <v>59.34</v>
      </c>
      <c r="I267" s="10">
        <v>26.44</v>
      </c>
      <c r="J267" s="10">
        <f>ROUND(H267*(I267/100+1),2)</f>
        <v>75.03</v>
      </c>
      <c r="K267" s="383">
        <v>120</v>
      </c>
      <c r="L267" s="474">
        <f>F267-K267</f>
        <v>0</v>
      </c>
      <c r="M267" s="471">
        <f t="shared" si="21"/>
        <v>0</v>
      </c>
      <c r="N267" s="405"/>
      <c r="O267" s="541"/>
      <c r="P267" s="405"/>
      <c r="Q267" s="405"/>
      <c r="S267" s="344" t="str">
        <f t="shared" si="22"/>
        <v>ESTACA HÉLICE CONTÍNUA, DIÂMETRO DE 30 CM, COMPRIMENTO TOTAL ATÉ 15 M, PERFURATRIZ COM TORQUE DE 170 KN.M (EXCLUSIVE MOBILIZAÇÃO E DESMOBILIZAÇÃO). AF_02/2015</v>
      </c>
    </row>
    <row r="268" spans="1:19" s="414" customFormat="1">
      <c r="A268" s="410" t="s">
        <v>8</v>
      </c>
      <c r="B268" s="425"/>
      <c r="C268" s="410"/>
      <c r="D268" s="420" t="s">
        <v>2055</v>
      </c>
      <c r="E268" s="424"/>
      <c r="F268" s="422"/>
      <c r="G268" s="413"/>
      <c r="H268" s="413"/>
      <c r="I268" s="413"/>
      <c r="J268" s="413"/>
      <c r="K268" s="498"/>
      <c r="L268" s="474"/>
      <c r="M268" s="471"/>
      <c r="N268" s="419"/>
      <c r="O268" s="541"/>
      <c r="P268" s="419"/>
      <c r="Q268" s="419"/>
      <c r="S268" s="414" t="str">
        <f t="shared" si="22"/>
        <v>LASTROS / FUNDAÇÕES DIRETAS</v>
      </c>
    </row>
    <row r="269" spans="1:19" s="414" customFormat="1">
      <c r="A269" s="410" t="s">
        <v>317</v>
      </c>
      <c r="B269" s="425"/>
      <c r="C269" s="410"/>
      <c r="D269" s="420" t="s">
        <v>2056</v>
      </c>
      <c r="E269" s="424"/>
      <c r="F269" s="422"/>
      <c r="G269" s="413"/>
      <c r="H269" s="413"/>
      <c r="I269" s="413"/>
      <c r="J269" s="413"/>
      <c r="K269" s="498"/>
      <c r="L269" s="474"/>
      <c r="M269" s="471"/>
      <c r="N269" s="419"/>
      <c r="O269" s="541"/>
      <c r="P269" s="419"/>
      <c r="Q269" s="419"/>
      <c r="S269" s="414" t="str">
        <f t="shared" si="22"/>
        <v>LASTRO DE PEDRA BRITADA E FUNDAÇÕES EM BALDRAME.</v>
      </c>
    </row>
    <row r="270" spans="1:19" s="344" customFormat="1">
      <c r="A270" s="49" t="s">
        <v>318</v>
      </c>
      <c r="B270" s="49">
        <f>'[3]Plan Tron'!B18</f>
        <v>6514</v>
      </c>
      <c r="C270" s="49" t="str">
        <f>'[3]Plan Tron'!C18</f>
        <v>SINAPI</v>
      </c>
      <c r="D270" s="81" t="str">
        <f>'[3]Plan Tron'!D18</f>
        <v xml:space="preserve">FORNECIMENTO E LANCAMENTO DE BRITA N. 4 </v>
      </c>
      <c r="E270" s="309" t="str">
        <f>'[3]Plan Tron'!E18</f>
        <v>M³</v>
      </c>
      <c r="F270" s="21">
        <v>0.15</v>
      </c>
      <c r="G270" s="10">
        <f>G78</f>
        <v>74.28</v>
      </c>
      <c r="H270" s="10">
        <f>'[3]Plan Tron'!F18</f>
        <v>88.38</v>
      </c>
      <c r="I270" s="10">
        <v>26.44</v>
      </c>
      <c r="J270" s="10">
        <f>ROUND(H270*(I270/100+1),2)</f>
        <v>111.75</v>
      </c>
      <c r="K270" s="383">
        <v>0</v>
      </c>
      <c r="L270" s="474">
        <f>F270-K270</f>
        <v>0.15</v>
      </c>
      <c r="M270" s="471">
        <f t="shared" si="21"/>
        <v>16.760000000000002</v>
      </c>
      <c r="N270" s="405"/>
      <c r="O270" s="541"/>
      <c r="P270" s="405"/>
      <c r="Q270" s="405"/>
      <c r="S270" s="344" t="str">
        <f t="shared" si="22"/>
        <v xml:space="preserve">FORNECIMENTO E LANCAMENTO DE BRITA N. 4 </v>
      </c>
    </row>
    <row r="271" spans="1:19" s="414" customFormat="1">
      <c r="A271" s="410" t="s">
        <v>7</v>
      </c>
      <c r="B271" s="646"/>
      <c r="C271" s="410"/>
      <c r="D271" s="694" t="s">
        <v>2058</v>
      </c>
      <c r="E271" s="648"/>
      <c r="F271" s="674"/>
      <c r="G271" s="413"/>
      <c r="H271" s="413"/>
      <c r="I271" s="413"/>
      <c r="J271" s="413"/>
      <c r="K271" s="498"/>
      <c r="L271" s="474"/>
      <c r="M271" s="471"/>
      <c r="N271" s="419"/>
      <c r="O271" s="541"/>
      <c r="P271" s="419"/>
      <c r="Q271" s="419"/>
      <c r="S271" s="414" t="str">
        <f t="shared" si="22"/>
        <v>FORMAS / CIMBRAMENTOS / ESCORAMENTOS</v>
      </c>
    </row>
    <row r="272" spans="1:19" s="344" customFormat="1">
      <c r="A272" s="49" t="s">
        <v>314</v>
      </c>
      <c r="B272" s="49">
        <f>'[3]Plan Tron'!B20</f>
        <v>5651</v>
      </c>
      <c r="C272" s="49" t="str">
        <f>'[3]Plan Tron'!C20</f>
        <v>SINAPI</v>
      </c>
      <c r="D272" s="612" t="str">
        <f>'[3]Plan Tron'!D20</f>
        <v>FORMA DE MADEIRA COMUM PARA FUNDAÇÕES - REAPROVEITAMENTO 5X.</v>
      </c>
      <c r="E272" s="49" t="str">
        <f>'[3]Plan Tron'!E20</f>
        <v>M²</v>
      </c>
      <c r="F272" s="21">
        <v>11.5</v>
      </c>
      <c r="G272" s="10">
        <v>22.96</v>
      </c>
      <c r="H272" s="10">
        <f>'[3]Plan Tron'!F20</f>
        <v>29.01</v>
      </c>
      <c r="I272" s="10">
        <v>26.44</v>
      </c>
      <c r="J272" s="10">
        <f>ROUND(H272*(I272/100+1),2)</f>
        <v>36.68</v>
      </c>
      <c r="K272" s="383">
        <v>0</v>
      </c>
      <c r="L272" s="474">
        <f>F272-K272</f>
        <v>11.5</v>
      </c>
      <c r="M272" s="471">
        <f t="shared" si="21"/>
        <v>421.82</v>
      </c>
      <c r="N272" s="405"/>
      <c r="O272" s="541"/>
      <c r="P272" s="405"/>
      <c r="Q272" s="405"/>
      <c r="S272" s="344" t="str">
        <f t="shared" si="22"/>
        <v>FORMA DE MADEIRA COMUM PARA FUNDAÇÕES - REAPROVEITAMENTO 5X.</v>
      </c>
    </row>
    <row r="273" spans="1:19" s="344" customFormat="1" ht="25.5">
      <c r="A273" s="49" t="s">
        <v>347</v>
      </c>
      <c r="B273" s="49" t="str">
        <f>'[3]Plan Tron'!B74</f>
        <v xml:space="preserve">92264 </v>
      </c>
      <c r="C273" s="49" t="str">
        <f>'[3]Plan Tron'!C74</f>
        <v>SINAPI</v>
      </c>
      <c r="D273" s="614" t="str">
        <f>'[3]Plan Tron'!D74</f>
        <v>FABRICAÇÃO DE FÔRMA PARA PILARES E ESTRUTURAS SIMILARES, EM CHAPA DE MADEIRA COMPENSADA PLASTIFICADA, E = 18 MM. AF_12/2015</v>
      </c>
      <c r="E273" s="49" t="str">
        <f>'[3]Plan Tron'!E74</f>
        <v>M²</v>
      </c>
      <c r="F273" s="21">
        <v>95.75</v>
      </c>
      <c r="G273" s="10">
        <v>32.619999999999997</v>
      </c>
      <c r="H273" s="10">
        <f>'[3]Plan Tron'!F74</f>
        <v>99.07</v>
      </c>
      <c r="I273" s="10">
        <v>26.44</v>
      </c>
      <c r="J273" s="10">
        <f>ROUND(H272*(I273/100+1),2)</f>
        <v>36.68</v>
      </c>
      <c r="K273" s="383">
        <v>0</v>
      </c>
      <c r="L273" s="474">
        <f>F273-K273</f>
        <v>95.75</v>
      </c>
      <c r="M273" s="471">
        <f t="shared" si="21"/>
        <v>3512.11</v>
      </c>
      <c r="N273" s="405"/>
      <c r="O273" s="541"/>
      <c r="P273" s="405"/>
      <c r="Q273" s="405"/>
      <c r="S273" s="344" t="str">
        <f t="shared" si="22"/>
        <v>FABRICAÇÃO DE FÔRMA PARA PILARES E ESTRUTURAS SIMILARES, EM CHAPA DE MADEIRA COMPENSADA PLASTIFICADA, E = 18 MM. AF_12/2015</v>
      </c>
    </row>
    <row r="274" spans="1:19" s="344" customFormat="1">
      <c r="A274" s="49" t="s">
        <v>347</v>
      </c>
      <c r="B274" s="49" t="str">
        <f>'[3]Plan Tron'!B66</f>
        <v xml:space="preserve">080202 </v>
      </c>
      <c r="C274" s="49" t="str">
        <f>'[3]Plan Tron'!C66</f>
        <v>CPOS</v>
      </c>
      <c r="D274" s="35" t="str">
        <f>'[3]Plan Tron'!D66</f>
        <v>CIMBRAMENTO EM MADEIRA COM ESTRONCAS DE EUCALIPTO</v>
      </c>
      <c r="E274" s="34" t="str">
        <f>'[3]Plan Tron'!E66</f>
        <v>M³</v>
      </c>
      <c r="F274" s="21">
        <v>20.54</v>
      </c>
      <c r="G274" s="10">
        <v>25.02</v>
      </c>
      <c r="H274" s="10">
        <f>'[3]Plan Tron'!F66</f>
        <v>27.46</v>
      </c>
      <c r="I274" s="10">
        <v>26.44</v>
      </c>
      <c r="J274" s="10">
        <f>ROUND(H274*(I274/100+1),2)</f>
        <v>34.72</v>
      </c>
      <c r="K274" s="383">
        <v>0</v>
      </c>
      <c r="L274" s="474">
        <f>F274-K274</f>
        <v>20.54</v>
      </c>
      <c r="M274" s="471">
        <f t="shared" si="21"/>
        <v>713.15</v>
      </c>
      <c r="N274" s="405"/>
      <c r="O274" s="541"/>
      <c r="P274" s="405"/>
      <c r="Q274" s="405"/>
      <c r="S274" s="344" t="str">
        <f t="shared" si="22"/>
        <v>CIMBRAMENTO EM MADEIRA COM ESTRONCAS DE EUCALIPTO</v>
      </c>
    </row>
    <row r="275" spans="1:19" s="414" customFormat="1">
      <c r="A275" s="410" t="s">
        <v>6</v>
      </c>
      <c r="B275" s="425"/>
      <c r="C275" s="410"/>
      <c r="D275" s="420" t="s">
        <v>2059</v>
      </c>
      <c r="E275" s="421"/>
      <c r="F275" s="659"/>
      <c r="G275" s="413"/>
      <c r="H275" s="413"/>
      <c r="I275" s="413"/>
      <c r="J275" s="413"/>
      <c r="K275" s="498"/>
      <c r="L275" s="474"/>
      <c r="M275" s="471"/>
      <c r="N275" s="419"/>
      <c r="O275" s="541"/>
      <c r="P275" s="419"/>
      <c r="Q275" s="419"/>
      <c r="S275" s="414" t="str">
        <f t="shared" si="22"/>
        <v>ARMADURAS</v>
      </c>
    </row>
    <row r="276" spans="1:19" s="414" customFormat="1">
      <c r="A276" s="410" t="s">
        <v>311</v>
      </c>
      <c r="B276" s="425"/>
      <c r="C276" s="410"/>
      <c r="D276" s="420" t="s">
        <v>2060</v>
      </c>
      <c r="E276" s="421"/>
      <c r="F276" s="430"/>
      <c r="G276" s="413"/>
      <c r="H276" s="413"/>
      <c r="I276" s="413"/>
      <c r="J276" s="413"/>
      <c r="K276" s="498"/>
      <c r="L276" s="474"/>
      <c r="M276" s="471"/>
      <c r="N276" s="419"/>
      <c r="O276" s="541"/>
      <c r="P276" s="419"/>
      <c r="Q276" s="419"/>
      <c r="S276" s="414" t="str">
        <f t="shared" si="22"/>
        <v>ARMAÇÃO EM AÇO CA-50 PARA ESTRUTURAS DE CONCRETO.</v>
      </c>
    </row>
    <row r="277" spans="1:19" s="344" customFormat="1" ht="25.5">
      <c r="A277" s="49" t="s">
        <v>310</v>
      </c>
      <c r="B277" s="49">
        <f>'[3]Plan Tron'!B91</f>
        <v>92765</v>
      </c>
      <c r="C277" s="49" t="str">
        <f>'[3]Plan Tron'!C91</f>
        <v>SINAPI</v>
      </c>
      <c r="D277" s="35" t="str">
        <f>'[3]Plan Tron'!D91</f>
        <v>ARMAÇÃO DE PILAR OU VIGA DE UMA ESTRUTURA CONVENCIONAL DE CONCRETO ARMADO EM UM EDIFÍCIO DE MÚLTIPLOS PAVIMENTOS UTILIZANDO AÇO CA-50 DE 20.0 MM - MONTAGEM. AF_12/2015</v>
      </c>
      <c r="E277" s="672" t="str">
        <f>'[3]Plan Tron'!E91</f>
        <v>KG</v>
      </c>
      <c r="F277" s="51">
        <v>569</v>
      </c>
      <c r="G277" s="10">
        <v>6.66</v>
      </c>
      <c r="H277" s="10">
        <f>'[3]Plan Tron'!F91</f>
        <v>4.32</v>
      </c>
      <c r="I277" s="10">
        <v>26.44</v>
      </c>
      <c r="J277" s="10">
        <f>ROUND(H277*(I277/100+1),2)</f>
        <v>5.46</v>
      </c>
      <c r="K277" s="474">
        <v>455.20000000000005</v>
      </c>
      <c r="L277" s="474">
        <f>F277-K277</f>
        <v>113.79999999999995</v>
      </c>
      <c r="M277" s="471">
        <f t="shared" si="21"/>
        <v>621.35</v>
      </c>
      <c r="N277" s="405"/>
      <c r="O277" s="541"/>
      <c r="P277" s="405"/>
      <c r="Q277" s="405"/>
      <c r="S277" s="344" t="str">
        <f t="shared" si="22"/>
        <v>ARMAÇÃO DE PILAR OU VIGA DE UMA ESTRUTURA CONVENCIONAL DE CONCRETO ARMADO EM UM EDIFÍCIO DE MÚLTIPLOS PAVIMENTOS UTILIZANDO AÇO CA-50 DE 20.0 MM - MONTAGEM. AF_12/2015</v>
      </c>
    </row>
    <row r="278" spans="1:19" s="344" customFormat="1" ht="25.5">
      <c r="A278" s="49" t="s">
        <v>309</v>
      </c>
      <c r="B278" s="49">
        <f>'[3]Plan Tron'!B90</f>
        <v>92763</v>
      </c>
      <c r="C278" s="49" t="str">
        <f>'[3]Plan Tron'!C90</f>
        <v>SINAPI</v>
      </c>
      <c r="D278" s="35" t="str">
        <f>'[3]Plan Tron'!D90</f>
        <v>ARMAÇÃO DE PILAR OU VIGA DE UMA ESTRUTURA CONVENCIONAL DE CONCRETO ARMADO EM UM EDIFÍCIO DE MÚLTIPLOS PAVIMENTOS UTILIZANDO AÇO CA-50 DE 12.5 MM - MONTAGEM. AF_12/2015</v>
      </c>
      <c r="E278" s="672" t="str">
        <f>'[3]Plan Tron'!E90</f>
        <v>KG</v>
      </c>
      <c r="F278" s="21">
        <v>1319</v>
      </c>
      <c r="G278" s="10">
        <f>G85</f>
        <v>5.9</v>
      </c>
      <c r="H278" s="10">
        <f>'[3]Plan Tron'!F90</f>
        <v>6.29</v>
      </c>
      <c r="I278" s="10">
        <v>26.44</v>
      </c>
      <c r="J278" s="10">
        <f>ROUND(H278*(I278/100+1),2)</f>
        <v>7.95</v>
      </c>
      <c r="K278" s="383">
        <v>0</v>
      </c>
      <c r="L278" s="474">
        <f>F278-K278</f>
        <v>1319</v>
      </c>
      <c r="M278" s="471">
        <f t="shared" si="21"/>
        <v>10486.05</v>
      </c>
      <c r="N278" s="405"/>
      <c r="O278" s="541"/>
      <c r="P278" s="405"/>
      <c r="Q278" s="405"/>
      <c r="S278" s="344" t="str">
        <f t="shared" si="22"/>
        <v>ARMAÇÃO DE PILAR OU VIGA DE UMA ESTRUTURA CONVENCIONAL DE CONCRETO ARMADO EM UM EDIFÍCIO DE MÚLTIPLOS PAVIMENTOS UTILIZANDO AÇO CA-50 DE 12.5 MM - MONTAGEM. AF_12/2015</v>
      </c>
    </row>
    <row r="279" spans="1:19" s="414" customFormat="1">
      <c r="A279" s="410" t="s">
        <v>5</v>
      </c>
      <c r="B279" s="646"/>
      <c r="C279" s="410"/>
      <c r="D279" s="694" t="s">
        <v>2061</v>
      </c>
      <c r="E279" s="648"/>
      <c r="F279" s="674"/>
      <c r="G279" s="413"/>
      <c r="H279" s="413"/>
      <c r="I279" s="413"/>
      <c r="J279" s="413"/>
      <c r="K279" s="498"/>
      <c r="L279" s="474"/>
      <c r="M279" s="471"/>
      <c r="N279" s="419"/>
      <c r="O279" s="541"/>
      <c r="P279" s="419"/>
      <c r="Q279" s="419"/>
      <c r="S279" s="414" t="str">
        <f t="shared" si="22"/>
        <v>CONCRETOS</v>
      </c>
    </row>
    <row r="280" spans="1:19" s="414" customFormat="1">
      <c r="A280" s="410" t="s">
        <v>346</v>
      </c>
      <c r="B280" s="425"/>
      <c r="C280" s="410"/>
      <c r="D280" s="420" t="s">
        <v>2062</v>
      </c>
      <c r="E280" s="421"/>
      <c r="F280" s="430"/>
      <c r="G280" s="413"/>
      <c r="H280" s="413"/>
      <c r="I280" s="413"/>
      <c r="J280" s="413"/>
      <c r="K280" s="498"/>
      <c r="L280" s="474"/>
      <c r="M280" s="471"/>
      <c r="N280" s="419"/>
      <c r="O280" s="541"/>
      <c r="P280" s="419"/>
      <c r="Q280" s="419"/>
      <c r="S280" s="414" t="str">
        <f t="shared" si="22"/>
        <v>CONCRETO BOMBEADO</v>
      </c>
    </row>
    <row r="281" spans="1:19" s="344" customFormat="1">
      <c r="A281" s="49" t="s">
        <v>345</v>
      </c>
      <c r="B281" s="49">
        <f>'[3]Plan Tron'!B27</f>
        <v>110132</v>
      </c>
      <c r="C281" s="49" t="str">
        <f>'[3]Plan Tron'!C27</f>
        <v>CPOS</v>
      </c>
      <c r="D281" s="614" t="str">
        <f>'[3]Plan Tron'!D27</f>
        <v xml:space="preserve">CONCRETO USINADO, FCK=30MPa - PARA BOMBEAMENTO </v>
      </c>
      <c r="E281" s="49" t="str">
        <f>'[3]Plan Tron'!E27</f>
        <v>M³</v>
      </c>
      <c r="F281" s="21">
        <v>13.54</v>
      </c>
      <c r="G281" s="10">
        <v>336.65</v>
      </c>
      <c r="H281" s="10">
        <f>'[3]Plan Tron'!F27</f>
        <v>311.94</v>
      </c>
      <c r="I281" s="10">
        <v>26.44</v>
      </c>
      <c r="J281" s="10">
        <f>ROUND(H281*(I281/100+1),2)</f>
        <v>394.42</v>
      </c>
      <c r="K281" s="383">
        <v>8.1239999999999988</v>
      </c>
      <c r="L281" s="474">
        <f>F281-K281</f>
        <v>5.4160000000000004</v>
      </c>
      <c r="M281" s="471">
        <f t="shared" si="21"/>
        <v>2136.1799999999998</v>
      </c>
      <c r="N281" s="405"/>
      <c r="O281" s="541"/>
      <c r="P281" s="405"/>
      <c r="Q281" s="405"/>
      <c r="S281" s="344" t="str">
        <f t="shared" si="22"/>
        <v xml:space="preserve">CONCRETO USINADO, FCK=30MPA - PARA BOMBEAMENTO </v>
      </c>
    </row>
    <row r="282" spans="1:19" s="344" customFormat="1">
      <c r="A282" s="49" t="s">
        <v>344</v>
      </c>
      <c r="B282" s="49">
        <f>'[3]Plan Tron'!B24</f>
        <v>110406</v>
      </c>
      <c r="C282" s="49" t="str">
        <f>'[3]Plan Tron'!C24</f>
        <v>CPOS</v>
      </c>
      <c r="D282" s="35" t="str">
        <f>'[3]Plan Tron'!D24</f>
        <v xml:space="preserve">CONCRETO NÃO ESTRUTURAL EXECUTADO NO LOCAL, MINIMO 300KG CIMENTO/M³ </v>
      </c>
      <c r="E282" s="672" t="str">
        <f>'[3]Plan Tron'!E24</f>
        <v>M³</v>
      </c>
      <c r="F282" s="21">
        <v>0.15</v>
      </c>
      <c r="G282" s="10">
        <v>238.25</v>
      </c>
      <c r="H282" s="10">
        <f>'[3]Plan Tron'!F24</f>
        <v>279.64</v>
      </c>
      <c r="I282" s="10">
        <v>26.44</v>
      </c>
      <c r="J282" s="10">
        <f>ROUND(H282*(I282/100+1),2)</f>
        <v>353.58</v>
      </c>
      <c r="K282" s="383">
        <v>0</v>
      </c>
      <c r="L282" s="474">
        <f>F282-K282</f>
        <v>0.15</v>
      </c>
      <c r="M282" s="471">
        <f t="shared" si="21"/>
        <v>53.04</v>
      </c>
      <c r="N282" s="405"/>
      <c r="O282" s="541"/>
      <c r="P282" s="405"/>
      <c r="Q282" s="405"/>
      <c r="S282" s="344" t="str">
        <f t="shared" si="22"/>
        <v xml:space="preserve">CONCRETO NÃO ESTRUTURAL EXECUTADO NO LOCAL, MINIMO 300KG CIMENTO/M³ </v>
      </c>
    </row>
    <row r="283" spans="1:19" s="344" customFormat="1">
      <c r="A283" s="49"/>
      <c r="B283" s="17"/>
      <c r="C283" s="49"/>
      <c r="D283" s="451"/>
      <c r="E283" s="7"/>
      <c r="F283" s="10"/>
      <c r="G283" s="21"/>
      <c r="H283" s="21"/>
      <c r="I283" s="10"/>
      <c r="J283" s="10"/>
      <c r="K283" s="451"/>
      <c r="L283" s="474"/>
      <c r="M283" s="471"/>
      <c r="N283" s="405"/>
      <c r="O283" s="541"/>
      <c r="P283" s="405"/>
      <c r="Q283" s="405"/>
    </row>
    <row r="284" spans="1:19" s="344" customFormat="1">
      <c r="A284" s="49"/>
      <c r="B284" s="17"/>
      <c r="C284" s="49"/>
      <c r="D284" s="52" t="s">
        <v>76</v>
      </c>
      <c r="E284" s="7"/>
      <c r="F284" s="10"/>
      <c r="G284" s="21"/>
      <c r="H284" s="21"/>
      <c r="I284" s="10"/>
      <c r="J284" s="10"/>
      <c r="K284" s="383"/>
      <c r="L284" s="474"/>
      <c r="M284" s="471"/>
      <c r="N284" s="405"/>
      <c r="O284" s="541"/>
      <c r="P284" s="405"/>
      <c r="Q284" s="405"/>
      <c r="S284" s="344" t="str">
        <f>UPPER(D284)</f>
        <v/>
      </c>
    </row>
    <row r="285" spans="1:19" s="344" customFormat="1">
      <c r="A285" s="45">
        <v>3</v>
      </c>
      <c r="B285" s="17"/>
      <c r="C285" s="45"/>
      <c r="D285" s="52" t="s">
        <v>2073</v>
      </c>
      <c r="E285" s="7"/>
      <c r="F285" s="10"/>
      <c r="G285" s="21"/>
      <c r="H285" s="21"/>
      <c r="I285" s="10"/>
      <c r="J285" s="10"/>
      <c r="K285" s="383"/>
      <c r="L285" s="474"/>
      <c r="M285" s="471"/>
      <c r="N285" s="405"/>
      <c r="O285" s="541"/>
      <c r="P285" s="405"/>
      <c r="Q285" s="405"/>
      <c r="S285" s="344" t="str">
        <f>UPPER(D285)</f>
        <v>IMPERMEABILIZAÇÕES E PROTEÇÕES DIVERSAS</v>
      </c>
    </row>
    <row r="286" spans="1:19" s="414" customFormat="1">
      <c r="A286" s="650" t="s">
        <v>144</v>
      </c>
      <c r="B286" s="411"/>
      <c r="C286" s="410"/>
      <c r="D286" s="690" t="s">
        <v>2074</v>
      </c>
      <c r="E286" s="617"/>
      <c r="F286" s="422"/>
      <c r="G286" s="422"/>
      <c r="H286" s="422"/>
      <c r="I286" s="413"/>
      <c r="J286" s="413"/>
      <c r="K286" s="498"/>
      <c r="L286" s="474"/>
      <c r="M286" s="471"/>
      <c r="N286" s="419"/>
      <c r="O286" s="541"/>
      <c r="P286" s="419"/>
      <c r="Q286" s="419"/>
      <c r="S286" s="414" t="str">
        <f>UPPER(D286)</f>
        <v>IMPERMEABILIZAÇÃO COM CIMENTO CRISTALIZADO</v>
      </c>
    </row>
    <row r="287" spans="1:19" s="414" customFormat="1" ht="25.5">
      <c r="A287" s="650" t="s">
        <v>143</v>
      </c>
      <c r="B287" s="411"/>
      <c r="C287" s="410"/>
      <c r="D287" s="690" t="s">
        <v>2075</v>
      </c>
      <c r="E287" s="617"/>
      <c r="F287" s="422"/>
      <c r="G287" s="422"/>
      <c r="H287" s="422"/>
      <c r="I287" s="413"/>
      <c r="J287" s="413"/>
      <c r="K287" s="498"/>
      <c r="L287" s="474"/>
      <c r="M287" s="471"/>
      <c r="N287" s="419"/>
      <c r="O287" s="541"/>
      <c r="P287" s="419"/>
      <c r="Q287" s="419"/>
      <c r="S287" s="414" t="str">
        <f>UPPER(D287)</f>
        <v>CIMENTO ESPECIAL CRISTALIZANTE DENVERLIT C/ EMULSÃO ADESIVA DENVERFIX - DENVER - 1 DEMÃO P/ SUBSOLO / BALDRAMES / GALERIAS / JARDINEIRAS / ETC.</v>
      </c>
    </row>
    <row r="288" spans="1:19" s="344" customFormat="1">
      <c r="A288" s="49" t="s">
        <v>343</v>
      </c>
      <c r="B288" s="49" t="str">
        <f>'[3]Plan Tron'!B33</f>
        <v>73929/001</v>
      </c>
      <c r="C288" s="49" t="str">
        <f>'[3]Plan Tron'!C33</f>
        <v>SINAPI</v>
      </c>
      <c r="D288" s="612" t="str">
        <f>'[3]Plan Tron'!D33</f>
        <v>IMPERMEABILIZACAO DE SUPERFICIE COM CIMENTO ESPECIAL CRISTALIZANTE COM ADESIVO LIQUIDO, UMA DEMAO.</v>
      </c>
      <c r="E288" s="49" t="str">
        <f>'[3]Plan Tron'!E33</f>
        <v>M²</v>
      </c>
      <c r="F288" s="21">
        <v>67.430000000000007</v>
      </c>
      <c r="G288" s="10">
        <v>18.329999999999998</v>
      </c>
      <c r="H288" s="10">
        <f>'[3]Plan Tron'!F33</f>
        <v>30.96</v>
      </c>
      <c r="I288" s="10">
        <v>26.44</v>
      </c>
      <c r="J288" s="10">
        <f>ROUND(H288*(I288/100+1),2)</f>
        <v>39.15</v>
      </c>
      <c r="K288" s="383">
        <v>0</v>
      </c>
      <c r="L288" s="474">
        <f>F288-K288</f>
        <v>67.430000000000007</v>
      </c>
      <c r="M288" s="471">
        <f t="shared" si="21"/>
        <v>2639.88</v>
      </c>
      <c r="N288" s="405"/>
      <c r="O288" s="541"/>
      <c r="P288" s="405"/>
      <c r="Q288" s="405"/>
      <c r="S288" s="344" t="str">
        <f>UPPER(D288)</f>
        <v>IMPERMEABILIZACAO DE SUPERFICIE COM CIMENTO ESPECIAL CRISTALIZANTE COM ADESIVO LIQUIDO, UMA DEMAO.</v>
      </c>
    </row>
    <row r="289" spans="1:37" s="344" customFormat="1">
      <c r="A289" s="49"/>
      <c r="B289" s="17"/>
      <c r="C289" s="49"/>
      <c r="D289" s="451"/>
      <c r="E289" s="7"/>
      <c r="F289" s="10"/>
      <c r="G289" s="10"/>
      <c r="H289" s="10"/>
      <c r="I289" s="10"/>
      <c r="J289" s="10"/>
      <c r="K289" s="451"/>
      <c r="L289" s="474"/>
      <c r="M289" s="471"/>
      <c r="N289" s="405"/>
      <c r="O289" s="541"/>
      <c r="P289" s="405"/>
      <c r="Q289" s="405"/>
    </row>
    <row r="290" spans="1:37" s="344" customFormat="1">
      <c r="A290" s="49"/>
      <c r="B290" s="17"/>
      <c r="C290" s="49"/>
      <c r="D290" s="52" t="s">
        <v>76</v>
      </c>
      <c r="E290" s="7"/>
      <c r="F290" s="10"/>
      <c r="G290" s="21"/>
      <c r="H290" s="21"/>
      <c r="I290" s="10"/>
      <c r="J290" s="10"/>
      <c r="K290" s="383"/>
      <c r="L290" s="474"/>
      <c r="M290" s="471"/>
      <c r="N290" s="405"/>
      <c r="O290" s="541"/>
      <c r="P290" s="405"/>
      <c r="Q290" s="405"/>
      <c r="S290" s="344" t="str">
        <f>UPPER(D290)</f>
        <v/>
      </c>
    </row>
    <row r="291" spans="1:37" s="344" customFormat="1">
      <c r="A291" s="59">
        <v>4</v>
      </c>
      <c r="B291" s="65"/>
      <c r="C291" s="59"/>
      <c r="D291" s="396" t="s">
        <v>2107</v>
      </c>
      <c r="E291" s="18"/>
      <c r="F291" s="20"/>
      <c r="G291" s="51"/>
      <c r="H291" s="51"/>
      <c r="I291" s="10"/>
      <c r="J291" s="10"/>
      <c r="K291" s="383"/>
      <c r="L291" s="474"/>
      <c r="M291" s="471"/>
      <c r="N291" s="405"/>
      <c r="O291" s="541"/>
      <c r="P291" s="405"/>
      <c r="Q291" s="405"/>
      <c r="S291" s="344" t="str">
        <f>UPPER(D291)</f>
        <v>PINTURAS</v>
      </c>
    </row>
    <row r="292" spans="1:37" s="414" customFormat="1">
      <c r="A292" s="650" t="s">
        <v>139</v>
      </c>
      <c r="B292" s="411"/>
      <c r="C292" s="410"/>
      <c r="D292" s="690" t="s">
        <v>2113</v>
      </c>
      <c r="E292" s="617"/>
      <c r="F292" s="422"/>
      <c r="G292" s="422"/>
      <c r="H292" s="422"/>
      <c r="I292" s="413"/>
      <c r="J292" s="413"/>
      <c r="K292" s="498"/>
      <c r="L292" s="474"/>
      <c r="M292" s="471"/>
      <c r="N292" s="419"/>
      <c r="O292" s="541"/>
      <c r="P292" s="419"/>
      <c r="Q292" s="419"/>
      <c r="S292" s="414" t="str">
        <f>UPPER(D292)</f>
        <v>PINTURA EM CONCRETO APARENTE</v>
      </c>
    </row>
    <row r="293" spans="1:37" s="344" customFormat="1">
      <c r="A293" s="55" t="s">
        <v>138</v>
      </c>
      <c r="B293" s="49">
        <f>'[3]Plan Tron'!B75</f>
        <v>84678</v>
      </c>
      <c r="C293" s="49" t="str">
        <f>'[3]Plan Tron'!C75</f>
        <v>SINAPI</v>
      </c>
      <c r="D293" s="612" t="str">
        <f>'[3]Plan Tron'!D75</f>
        <v xml:space="preserve">VERNIZ POLIURETANO BRILHANTE EM CONCRETO OU TIJOLO, TRES DEMAOS </v>
      </c>
      <c r="E293" s="49" t="str">
        <f>'[3]Plan Tron'!E75</f>
        <v>M²</v>
      </c>
      <c r="F293" s="21">
        <v>31.48</v>
      </c>
      <c r="G293" s="21">
        <v>11.75</v>
      </c>
      <c r="H293" s="21">
        <f>'[3]Plan Tron'!F75</f>
        <v>16.84</v>
      </c>
      <c r="I293" s="10">
        <v>26.44</v>
      </c>
      <c r="J293" s="10">
        <f>ROUND(H293*(I293/100+1),2)</f>
        <v>21.29</v>
      </c>
      <c r="K293" s="383">
        <v>0</v>
      </c>
      <c r="L293" s="474">
        <f>F293-K293</f>
        <v>31.48</v>
      </c>
      <c r="M293" s="471">
        <f t="shared" si="21"/>
        <v>670.21</v>
      </c>
      <c r="N293" s="405"/>
      <c r="O293" s="541"/>
      <c r="P293" s="405"/>
      <c r="Q293" s="405"/>
      <c r="S293" s="344" t="str">
        <f>UPPER(D293)</f>
        <v xml:space="preserve">VERNIZ POLIURETANO BRILHANTE EM CONCRETO OU TIJOLO, TRES DEMAOS </v>
      </c>
    </row>
    <row r="294" spans="1:37" s="344" customFormat="1">
      <c r="A294" s="49"/>
      <c r="B294" s="17"/>
      <c r="C294" s="49"/>
      <c r="D294" s="110"/>
      <c r="E294" s="7"/>
      <c r="F294" s="10"/>
      <c r="G294" s="10"/>
      <c r="H294" s="10"/>
      <c r="I294" s="10"/>
      <c r="J294" s="10"/>
      <c r="K294" s="110"/>
      <c r="L294" s="474"/>
      <c r="M294" s="471"/>
      <c r="N294" s="405"/>
      <c r="O294" s="541"/>
      <c r="P294" s="405"/>
      <c r="Q294" s="405"/>
    </row>
    <row r="295" spans="1:37" s="344" customFormat="1">
      <c r="A295" s="49"/>
      <c r="B295" s="17"/>
      <c r="C295" s="49"/>
      <c r="D295" s="396" t="s">
        <v>76</v>
      </c>
      <c r="E295" s="7"/>
      <c r="F295" s="10"/>
      <c r="G295" s="10"/>
      <c r="H295" s="10"/>
      <c r="I295" s="10"/>
      <c r="J295" s="10"/>
      <c r="K295" s="383"/>
      <c r="L295" s="474"/>
      <c r="M295" s="471"/>
      <c r="N295" s="405"/>
      <c r="O295" s="541"/>
      <c r="P295" s="405"/>
      <c r="Q295" s="405"/>
      <c r="S295" s="344" t="str">
        <f>UPPER(D295)</f>
        <v/>
      </c>
    </row>
    <row r="296" spans="1:37">
      <c r="A296" s="67">
        <v>5</v>
      </c>
      <c r="B296" s="71"/>
      <c r="C296" s="67"/>
      <c r="D296" s="398" t="s">
        <v>2109</v>
      </c>
      <c r="E296" s="32"/>
      <c r="F296" s="8"/>
      <c r="G296" s="62"/>
      <c r="H296" s="62"/>
      <c r="I296" s="10"/>
      <c r="J296" s="10"/>
      <c r="K296" s="383"/>
      <c r="L296" s="474"/>
      <c r="M296" s="471"/>
      <c r="N296" s="405"/>
      <c r="O296" s="541"/>
      <c r="P296" s="405"/>
      <c r="Q296" s="405"/>
      <c r="S296" s="344" t="str">
        <f>UPPER(D296)</f>
        <v>MONTAGEM DE MATERIAIS E EQUIPAMENTOS HIDRÁULICOS, HIDROMECÂNICOS E DIVERSOS</v>
      </c>
    </row>
    <row r="297" spans="1:37" s="344" customFormat="1" ht="25.5">
      <c r="A297" s="69" t="s">
        <v>136</v>
      </c>
      <c r="B297" s="11" t="s">
        <v>308</v>
      </c>
      <c r="C297" s="69"/>
      <c r="D297" s="26" t="s">
        <v>2110</v>
      </c>
      <c r="E297" s="24" t="s">
        <v>2339</v>
      </c>
      <c r="F297" s="10">
        <v>1</v>
      </c>
      <c r="G297" s="21">
        <v>12143.359999999999</v>
      </c>
      <c r="H297" s="9">
        <f t="shared" ref="H297" si="23">G297*$P$7</f>
        <v>14029.223807999999</v>
      </c>
      <c r="I297" s="10">
        <v>26.44</v>
      </c>
      <c r="J297" s="10">
        <f>ROUND(H297*(I297/100+1),2)</f>
        <v>17738.55</v>
      </c>
      <c r="K297" s="383">
        <v>0</v>
      </c>
      <c r="L297" s="474">
        <f>F297-K297</f>
        <v>1</v>
      </c>
      <c r="M297" s="471">
        <f t="shared" si="21"/>
        <v>17738.55</v>
      </c>
      <c r="N297" s="405"/>
      <c r="O297" s="541"/>
      <c r="P297" s="405"/>
      <c r="Q297" s="405"/>
      <c r="S297" s="344" t="str">
        <f>UPPER(D297)</f>
        <v>MONTAGEM HIDRÁULICA E HIDROMECÂNICA DE EQUIPAMENTOS, VÁLVULAS, TUBOS, PEÇAS E ACESSÓRIOS DA LISTA DE MATERIAL DA ESTRUTURA DE ENTRADA.</v>
      </c>
    </row>
    <row r="298" spans="1:37">
      <c r="A298" s="69"/>
      <c r="B298" s="112"/>
      <c r="C298" s="69"/>
      <c r="D298" s="111"/>
      <c r="E298" s="32"/>
      <c r="F298" s="8"/>
      <c r="G298" s="8"/>
      <c r="H298" s="8"/>
      <c r="I298" s="10"/>
      <c r="J298" s="10"/>
      <c r="K298" s="111"/>
      <c r="L298" s="474"/>
      <c r="M298" s="472"/>
      <c r="N298" s="405"/>
      <c r="O298" s="541"/>
      <c r="P298" s="405"/>
      <c r="Q298" s="405"/>
    </row>
    <row r="299" spans="1:37">
      <c r="A299" s="69"/>
      <c r="B299" s="112"/>
      <c r="C299" s="69"/>
      <c r="D299" s="438"/>
      <c r="E299" s="32"/>
      <c r="F299" s="8"/>
      <c r="G299" s="8"/>
      <c r="H299" s="8"/>
      <c r="I299" s="10"/>
      <c r="J299" s="10"/>
      <c r="K299" s="111"/>
      <c r="L299" s="474"/>
      <c r="M299" s="471"/>
      <c r="N299" s="405"/>
      <c r="O299" s="541"/>
      <c r="P299" s="405"/>
      <c r="Q299" s="405"/>
    </row>
    <row r="300" spans="1:37" s="299" customFormat="1">
      <c r="A300" s="340"/>
      <c r="B300" s="338"/>
      <c r="C300" s="338"/>
      <c r="D300" s="518" t="s">
        <v>2353</v>
      </c>
      <c r="E300" s="340"/>
      <c r="F300" s="338"/>
      <c r="G300" s="338"/>
      <c r="H300" s="338"/>
      <c r="I300" s="338"/>
      <c r="J300" s="338"/>
      <c r="K300" s="518"/>
      <c r="L300" s="508"/>
      <c r="M300" s="505">
        <f>SUM(M255:M298)</f>
        <v>55363.259999999995</v>
      </c>
      <c r="N300" s="405"/>
      <c r="O300" s="541"/>
      <c r="P300" s="405"/>
      <c r="Q300" s="405"/>
      <c r="R300" s="388"/>
      <c r="S300" s="344" t="str">
        <f t="shared" ref="S300:S308" si="24">UPPER(D300)</f>
        <v>TOTAL ITEM 8</v>
      </c>
      <c r="T300" s="388"/>
      <c r="U300" s="388"/>
      <c r="V300" s="388"/>
      <c r="W300" s="388"/>
      <c r="X300" s="388"/>
      <c r="Y300" s="388"/>
      <c r="Z300" s="388"/>
      <c r="AA300" s="388"/>
      <c r="AB300" s="388"/>
      <c r="AC300" s="388"/>
      <c r="AD300" s="388"/>
      <c r="AE300" s="388"/>
      <c r="AF300" s="388"/>
      <c r="AG300" s="388"/>
      <c r="AH300" s="388"/>
      <c r="AI300" s="388"/>
      <c r="AJ300" s="388"/>
      <c r="AK300" s="388"/>
    </row>
    <row r="301" spans="1:37" s="299" customFormat="1">
      <c r="A301" s="297"/>
      <c r="B301" s="298"/>
      <c r="C301" s="298"/>
      <c r="D301" s="442" t="s">
        <v>76</v>
      </c>
      <c r="E301" s="297" t="s">
        <v>76</v>
      </c>
      <c r="F301" s="298"/>
      <c r="G301" s="301"/>
      <c r="H301" s="338"/>
      <c r="I301" s="298"/>
      <c r="J301" s="298"/>
      <c r="K301" s="341"/>
      <c r="L301" s="474"/>
      <c r="M301" s="471"/>
      <c r="N301" s="405"/>
      <c r="O301" s="541"/>
      <c r="P301" s="405"/>
      <c r="Q301" s="405"/>
      <c r="R301" s="388"/>
      <c r="S301" s="344" t="str">
        <f t="shared" si="24"/>
        <v/>
      </c>
      <c r="T301" s="388"/>
      <c r="U301" s="388"/>
      <c r="V301" s="388"/>
      <c r="W301" s="388"/>
      <c r="X301" s="388"/>
      <c r="Y301" s="388"/>
      <c r="Z301" s="388"/>
      <c r="AA301" s="388"/>
      <c r="AB301" s="388"/>
      <c r="AC301" s="388"/>
      <c r="AD301" s="388"/>
      <c r="AE301" s="388"/>
      <c r="AF301" s="388"/>
      <c r="AG301" s="388"/>
      <c r="AH301" s="388"/>
      <c r="AI301" s="388"/>
      <c r="AJ301" s="388"/>
      <c r="AK301" s="388"/>
    </row>
    <row r="302" spans="1:37" s="450" customFormat="1">
      <c r="A302" s="445">
        <v>10</v>
      </c>
      <c r="B302" s="446"/>
      <c r="C302" s="447"/>
      <c r="D302" s="448" t="s">
        <v>1961</v>
      </c>
      <c r="E302" s="453" t="s">
        <v>76</v>
      </c>
      <c r="F302" s="446"/>
      <c r="G302" s="446"/>
      <c r="H302" s="446"/>
      <c r="I302" s="446"/>
      <c r="J302" s="446"/>
      <c r="K302" s="473"/>
      <c r="L302" s="478"/>
      <c r="M302" s="479"/>
      <c r="N302" s="454"/>
      <c r="O302" s="541"/>
      <c r="P302" s="454"/>
      <c r="Q302" s="454"/>
      <c r="S302" s="450" t="str">
        <f t="shared" si="24"/>
        <v>PLATAFORMA METÁLICA ENTRE OS FLOCULADORES E A ESTRUTURA DE CHEGADA</v>
      </c>
    </row>
    <row r="303" spans="1:37" s="344" customFormat="1">
      <c r="A303" s="72">
        <v>1</v>
      </c>
      <c r="B303" s="16"/>
      <c r="C303" s="72"/>
      <c r="D303" s="52" t="s">
        <v>2054</v>
      </c>
      <c r="E303" s="7" t="s">
        <v>76</v>
      </c>
      <c r="F303" s="21"/>
      <c r="G303" s="10"/>
      <c r="H303" s="10"/>
      <c r="I303" s="10"/>
      <c r="J303" s="10"/>
      <c r="K303" s="383"/>
      <c r="L303" s="474"/>
      <c r="M303" s="471"/>
      <c r="N303" s="405"/>
      <c r="O303" s="541"/>
      <c r="P303" s="405"/>
      <c r="Q303" s="405"/>
      <c r="S303" s="344" t="str">
        <f t="shared" si="24"/>
        <v>FUNDAÇÕES E ESTRUTURAS</v>
      </c>
    </row>
    <row r="304" spans="1:37" s="414" customFormat="1">
      <c r="A304" s="760" t="s">
        <v>20</v>
      </c>
      <c r="B304" s="656"/>
      <c r="C304" s="410"/>
      <c r="D304" s="690" t="s">
        <v>2114</v>
      </c>
      <c r="E304" s="617" t="s">
        <v>76</v>
      </c>
      <c r="F304" s="422"/>
      <c r="G304" s="413"/>
      <c r="H304" s="413"/>
      <c r="I304" s="413"/>
      <c r="J304" s="413"/>
      <c r="K304" s="498"/>
      <c r="L304" s="474"/>
      <c r="M304" s="471"/>
      <c r="N304" s="419"/>
      <c r="O304" s="541"/>
      <c r="P304" s="419"/>
      <c r="Q304" s="419"/>
      <c r="S304" s="414" t="str">
        <f t="shared" si="24"/>
        <v>FORMAS/CIMBRAMENTOS/ESCORAMENTOS</v>
      </c>
    </row>
    <row r="305" spans="1:19" s="731" customFormat="1" ht="25.5">
      <c r="A305" s="332" t="s">
        <v>153</v>
      </c>
      <c r="B305" s="74" t="str">
        <f>'[3]Plan Tron'!B74</f>
        <v xml:space="preserve">92264 </v>
      </c>
      <c r="C305" s="332" t="str">
        <f>'[3]Plan Tron'!C74</f>
        <v>SINAPI</v>
      </c>
      <c r="D305" s="15" t="str">
        <f>'[3]Plan Tron'!D74</f>
        <v>FABRICAÇÃO DE FÔRMA PARA PILARES E ESTRUTURAS SIMILARES, EM CHAPA DE MADEIRA COMPENSADA PLASTIFICADA, E = 18 MM. AF_12/2015</v>
      </c>
      <c r="E305" s="349" t="str">
        <f>'[3]Plan Tron'!E74</f>
        <v>M²</v>
      </c>
      <c r="F305" s="761">
        <v>0.62</v>
      </c>
      <c r="G305" s="353">
        <v>32.619999999999997</v>
      </c>
      <c r="H305" s="353">
        <f>'[3]Plan Tron'!F74</f>
        <v>99.07</v>
      </c>
      <c r="I305" s="353">
        <v>26.44</v>
      </c>
      <c r="J305" s="353">
        <f>ROUND(H305*(I305/100+1),2)</f>
        <v>125.26</v>
      </c>
      <c r="K305" s="727">
        <v>0</v>
      </c>
      <c r="L305" s="728">
        <f>F305-K305</f>
        <v>0.62</v>
      </c>
      <c r="M305" s="471">
        <f t="shared" ref="M305:M332" si="25">ROUND(L305*J305,2)</f>
        <v>77.66</v>
      </c>
      <c r="N305" s="729"/>
      <c r="O305" s="730"/>
      <c r="P305" s="729"/>
      <c r="Q305" s="729"/>
      <c r="S305" s="731" t="str">
        <f t="shared" si="24"/>
        <v>FABRICAÇÃO DE FÔRMA PARA PILARES E ESTRUTURAS SIMILARES, EM CHAPA DE MADEIRA COMPENSADA PLASTIFICADA, E = 18 MM. AF_12/2015</v>
      </c>
    </row>
    <row r="306" spans="1:19" s="414" customFormat="1">
      <c r="A306" s="760" t="s">
        <v>19</v>
      </c>
      <c r="B306" s="646"/>
      <c r="C306" s="410"/>
      <c r="D306" s="694" t="s">
        <v>2061</v>
      </c>
      <c r="E306" s="648" t="s">
        <v>76</v>
      </c>
      <c r="F306" s="422"/>
      <c r="G306" s="413"/>
      <c r="H306" s="413"/>
      <c r="I306" s="413"/>
      <c r="J306" s="413"/>
      <c r="K306" s="498"/>
      <c r="L306" s="474"/>
      <c r="M306" s="471"/>
      <c r="N306" s="419"/>
      <c r="O306" s="541"/>
      <c r="P306" s="419"/>
      <c r="Q306" s="419"/>
      <c r="S306" s="414" t="str">
        <f t="shared" si="24"/>
        <v>CONCRETOS</v>
      </c>
    </row>
    <row r="307" spans="1:19" s="414" customFormat="1">
      <c r="A307" s="760" t="s">
        <v>147</v>
      </c>
      <c r="B307" s="425"/>
      <c r="C307" s="410"/>
      <c r="D307" s="420" t="s">
        <v>2062</v>
      </c>
      <c r="E307" s="421" t="s">
        <v>76</v>
      </c>
      <c r="F307" s="422"/>
      <c r="G307" s="413"/>
      <c r="H307" s="413"/>
      <c r="I307" s="413"/>
      <c r="J307" s="413"/>
      <c r="K307" s="498"/>
      <c r="L307" s="474"/>
      <c r="M307" s="471"/>
      <c r="N307" s="419"/>
      <c r="O307" s="541"/>
      <c r="P307" s="419"/>
      <c r="Q307" s="419"/>
      <c r="S307" s="414" t="str">
        <f t="shared" si="24"/>
        <v>CONCRETO BOMBEADO</v>
      </c>
    </row>
    <row r="308" spans="1:19" s="344" customFormat="1">
      <c r="A308" s="49" t="s">
        <v>146</v>
      </c>
      <c r="B308" s="49">
        <f>'[3]Plan Tron'!B27</f>
        <v>110132</v>
      </c>
      <c r="C308" s="49" t="str">
        <f>'[3]Plan Tron'!C27</f>
        <v>CPOS</v>
      </c>
      <c r="D308" s="35" t="str">
        <f>'[3]Plan Tron'!D27</f>
        <v xml:space="preserve">CONCRETO USINADO, FCK=30MPa - PARA BOMBEAMENTO </v>
      </c>
      <c r="E308" s="672" t="str">
        <f>'[3]Plan Tron'!E27</f>
        <v>M³</v>
      </c>
      <c r="F308" s="21">
        <v>7.0000000000000007E-2</v>
      </c>
      <c r="G308" s="10">
        <v>336.65</v>
      </c>
      <c r="H308" s="10">
        <f>'[3]Plan Tron'!F27</f>
        <v>311.94</v>
      </c>
      <c r="I308" s="10">
        <v>26.44</v>
      </c>
      <c r="J308" s="10">
        <f>ROUND(H308*(I308/100+1),2)</f>
        <v>394.42</v>
      </c>
      <c r="K308" s="383">
        <v>0</v>
      </c>
      <c r="L308" s="474">
        <f>F308-K308</f>
        <v>7.0000000000000007E-2</v>
      </c>
      <c r="M308" s="471">
        <f t="shared" si="25"/>
        <v>27.61</v>
      </c>
      <c r="N308" s="405"/>
      <c r="O308" s="541"/>
      <c r="P308" s="405"/>
      <c r="Q308" s="405"/>
      <c r="S308" s="344" t="str">
        <f t="shared" si="24"/>
        <v xml:space="preserve">CONCRETO USINADO, FCK=30MPA - PARA BOMBEAMENTO </v>
      </c>
    </row>
    <row r="309" spans="1:19" s="344" customFormat="1">
      <c r="A309" s="73"/>
      <c r="B309" s="16"/>
      <c r="C309" s="73"/>
      <c r="D309" s="17"/>
      <c r="E309" s="7"/>
      <c r="F309" s="21"/>
      <c r="G309" s="10"/>
      <c r="H309" s="10"/>
      <c r="I309" s="10"/>
      <c r="J309" s="10"/>
      <c r="K309" s="17"/>
      <c r="L309" s="474"/>
      <c r="M309" s="471"/>
      <c r="N309" s="405"/>
      <c r="O309" s="541"/>
      <c r="P309" s="405"/>
      <c r="Q309" s="405"/>
    </row>
    <row r="310" spans="1:19" s="344" customFormat="1">
      <c r="A310" s="73"/>
      <c r="B310" s="16"/>
      <c r="C310" s="73"/>
      <c r="D310" s="53" t="s">
        <v>76</v>
      </c>
      <c r="E310" s="7" t="s">
        <v>76</v>
      </c>
      <c r="F310" s="21"/>
      <c r="G310" s="10"/>
      <c r="H310" s="10"/>
      <c r="I310" s="10"/>
      <c r="J310" s="10"/>
      <c r="K310" s="383"/>
      <c r="L310" s="474"/>
      <c r="M310" s="471"/>
      <c r="N310" s="405"/>
      <c r="O310" s="541"/>
      <c r="P310" s="405"/>
      <c r="Q310" s="405"/>
      <c r="S310" s="344" t="str">
        <f>UPPER(D310)</f>
        <v/>
      </c>
    </row>
    <row r="311" spans="1:19" s="344" customFormat="1">
      <c r="A311" s="72">
        <v>2</v>
      </c>
      <c r="B311" s="17"/>
      <c r="C311" s="72"/>
      <c r="D311" s="52" t="s">
        <v>2103</v>
      </c>
      <c r="E311" s="47" t="s">
        <v>76</v>
      </c>
      <c r="F311" s="76"/>
      <c r="G311" s="13"/>
      <c r="H311" s="13"/>
      <c r="I311" s="13"/>
      <c r="J311" s="13"/>
      <c r="K311" s="383"/>
      <c r="L311" s="474"/>
      <c r="M311" s="471"/>
      <c r="N311" s="405"/>
      <c r="O311" s="541"/>
      <c r="P311" s="405"/>
      <c r="Q311" s="405"/>
      <c r="S311" s="344" t="str">
        <f>UPPER(D311)</f>
        <v>PAREDES E PAINÉIS</v>
      </c>
    </row>
    <row r="312" spans="1:19" s="414" customFormat="1">
      <c r="A312" s="760" t="s">
        <v>9</v>
      </c>
      <c r="B312" s="646"/>
      <c r="C312" s="410"/>
      <c r="D312" s="690" t="s">
        <v>2068</v>
      </c>
      <c r="E312" s="617" t="s">
        <v>76</v>
      </c>
      <c r="F312" s="422"/>
      <c r="G312" s="413"/>
      <c r="H312" s="413"/>
      <c r="I312" s="413"/>
      <c r="J312" s="413"/>
      <c r="K312" s="498"/>
      <c r="L312" s="474"/>
      <c r="M312" s="471"/>
      <c r="N312" s="419"/>
      <c r="O312" s="541"/>
      <c r="P312" s="419"/>
      <c r="Q312" s="419"/>
      <c r="S312" s="414" t="str">
        <f>UPPER(D312)</f>
        <v>ALVENARIA DE BLOCOS DE CONCRETO</v>
      </c>
    </row>
    <row r="313" spans="1:19" s="414" customFormat="1">
      <c r="A313" s="760" t="s">
        <v>348</v>
      </c>
      <c r="B313" s="653"/>
      <c r="C313" s="410"/>
      <c r="D313" s="690" t="s">
        <v>2115</v>
      </c>
      <c r="E313" s="617" t="s">
        <v>76</v>
      </c>
      <c r="F313" s="422"/>
      <c r="G313" s="413"/>
      <c r="H313" s="413"/>
      <c r="I313" s="413"/>
      <c r="J313" s="413"/>
      <c r="K313" s="498"/>
      <c r="L313" s="474"/>
      <c r="M313" s="471"/>
      <c r="N313" s="419"/>
      <c r="O313" s="541"/>
      <c r="P313" s="419"/>
      <c r="Q313" s="419"/>
      <c r="S313" s="414" t="str">
        <f>UPPER(D313)</f>
        <v>ALVENARIA BLOCO CONCRETO</v>
      </c>
    </row>
    <row r="314" spans="1:19" s="344" customFormat="1" ht="38.25">
      <c r="A314" s="49" t="s">
        <v>417</v>
      </c>
      <c r="B314" s="16">
        <f>'[3]Plan Tron'!B76</f>
        <v>87451</v>
      </c>
      <c r="C314" s="16" t="str">
        <f>'[3]Plan Tron'!C76</f>
        <v>SINAPI</v>
      </c>
      <c r="D314" s="130" t="str">
        <f>'[3]Plan Tron'!D76</f>
        <v>ALVENARIA DE VEDAÇÃO DE BLOCOS VAZADOS DE CONCRETO DE 19X19X39CM (ESPESSURA 19CM) DE PAREDES COM ÁREA LÍQUIDA MENOR QUE 6M² SEM VÃOS E ARGAMASSA DE ASSENTAMENTO COM PREPARO EM BETONEIRA. AF_06/2014</v>
      </c>
      <c r="E314" s="16" t="str">
        <f>'[3]Plan Tron'!E76</f>
        <v>M²</v>
      </c>
      <c r="F314" s="21">
        <v>1.03</v>
      </c>
      <c r="G314" s="21">
        <v>65</v>
      </c>
      <c r="H314" s="21">
        <f>'[3]Plan Tron'!F76</f>
        <v>70.959999999999994</v>
      </c>
      <c r="I314" s="10">
        <v>26.44</v>
      </c>
      <c r="J314" s="10">
        <f>ROUND(H314*(I314/100+1),2)</f>
        <v>89.72</v>
      </c>
      <c r="K314" s="383">
        <v>0</v>
      </c>
      <c r="L314" s="474">
        <f>F314-K314</f>
        <v>1.03</v>
      </c>
      <c r="M314" s="471">
        <f t="shared" si="25"/>
        <v>92.41</v>
      </c>
      <c r="N314" s="405"/>
      <c r="O314" s="541"/>
      <c r="P314" s="405"/>
      <c r="Q314" s="405"/>
      <c r="S314" s="344" t="str">
        <f>UPPER(D314)</f>
        <v>ALVENARIA DE VEDAÇÃO DE BLOCOS VAZADOS DE CONCRETO DE 19X19X39CM (ESPESSURA 19CM) DE PAREDES COM ÁREA LÍQUIDA MENOR QUE 6M² SEM VÃOS E ARGAMASSA DE ASSENTAMENTO COM PREPARO EM BETONEIRA. AF_06/2014</v>
      </c>
    </row>
    <row r="315" spans="1:19" s="344" customFormat="1">
      <c r="A315" s="73"/>
      <c r="B315" s="16"/>
      <c r="C315" s="73"/>
      <c r="D315" s="17"/>
      <c r="E315" s="7"/>
      <c r="F315" s="21"/>
      <c r="G315" s="10"/>
      <c r="H315" s="10"/>
      <c r="I315" s="10"/>
      <c r="J315" s="10"/>
      <c r="K315" s="17"/>
      <c r="L315" s="474"/>
      <c r="M315" s="471"/>
      <c r="N315" s="405"/>
      <c r="O315" s="541"/>
      <c r="P315" s="405"/>
      <c r="Q315" s="405"/>
    </row>
    <row r="316" spans="1:19" s="344" customFormat="1">
      <c r="A316" s="73"/>
      <c r="B316" s="16"/>
      <c r="C316" s="73"/>
      <c r="D316" s="15" t="s">
        <v>76</v>
      </c>
      <c r="E316" s="7"/>
      <c r="F316" s="21"/>
      <c r="G316" s="10"/>
      <c r="H316" s="10"/>
      <c r="I316" s="10"/>
      <c r="J316" s="10"/>
      <c r="K316" s="383"/>
      <c r="L316" s="474"/>
      <c r="M316" s="471"/>
      <c r="N316" s="405"/>
      <c r="O316" s="541"/>
      <c r="P316" s="405"/>
      <c r="Q316" s="405"/>
      <c r="S316" s="344" t="str">
        <f t="shared" ref="S316:S326" si="26">UPPER(D316)</f>
        <v/>
      </c>
    </row>
    <row r="317" spans="1:19" s="344" customFormat="1">
      <c r="A317" s="45">
        <v>3</v>
      </c>
      <c r="B317" s="25"/>
      <c r="C317" s="45"/>
      <c r="D317" s="397" t="s">
        <v>2107</v>
      </c>
      <c r="E317" s="24"/>
      <c r="F317" s="21"/>
      <c r="G317" s="10"/>
      <c r="H317" s="10"/>
      <c r="I317" s="10"/>
      <c r="J317" s="10"/>
      <c r="K317" s="383"/>
      <c r="L317" s="474"/>
      <c r="M317" s="471"/>
      <c r="N317" s="405"/>
      <c r="O317" s="541"/>
      <c r="P317" s="405"/>
      <c r="Q317" s="405"/>
      <c r="S317" s="344" t="str">
        <f t="shared" si="26"/>
        <v>PINTURAS</v>
      </c>
    </row>
    <row r="318" spans="1:19" s="414" customFormat="1">
      <c r="A318" s="410" t="s">
        <v>144</v>
      </c>
      <c r="B318" s="411"/>
      <c r="C318" s="410"/>
      <c r="D318" s="613" t="s">
        <v>2116</v>
      </c>
      <c r="E318" s="424"/>
      <c r="F318" s="422"/>
      <c r="G318" s="413"/>
      <c r="H318" s="413"/>
      <c r="I318" s="413"/>
      <c r="J318" s="413"/>
      <c r="K318" s="498"/>
      <c r="L318" s="474"/>
      <c r="M318" s="471"/>
      <c r="N318" s="419"/>
      <c r="O318" s="541"/>
      <c r="P318" s="419"/>
      <c r="Q318" s="419"/>
      <c r="S318" s="414" t="str">
        <f t="shared" si="26"/>
        <v>PINTURA PARA METAL</v>
      </c>
    </row>
    <row r="319" spans="1:19" s="344" customFormat="1">
      <c r="A319" s="49" t="s">
        <v>143</v>
      </c>
      <c r="B319" s="49">
        <f>'[3]Plan Tron'!B79</f>
        <v>73656</v>
      </c>
      <c r="C319" s="49" t="str">
        <f>'[3]Plan Tron'!C79</f>
        <v>SINAPI</v>
      </c>
      <c r="D319" s="26" t="str">
        <f>'[3]Plan Tron'!D79</f>
        <v xml:space="preserve">JATEAMENTO COM AREIA EM ESTRUTURA METALICA </v>
      </c>
      <c r="E319" s="77" t="str">
        <f>'[3]Plan Tron'!E79</f>
        <v>M²</v>
      </c>
      <c r="F319" s="21">
        <v>9.2899999999999991</v>
      </c>
      <c r="G319" s="10">
        <v>6.32</v>
      </c>
      <c r="H319" s="10">
        <f>'[3]Plan Tron'!F79</f>
        <v>14.37</v>
      </c>
      <c r="I319" s="10">
        <v>26.44</v>
      </c>
      <c r="J319" s="10">
        <f>ROUND(H319*(I319/100+1),2)</f>
        <v>18.170000000000002</v>
      </c>
      <c r="K319" s="383">
        <v>0</v>
      </c>
      <c r="L319" s="474">
        <f>F319-K319</f>
        <v>9.2899999999999991</v>
      </c>
      <c r="M319" s="471">
        <f t="shared" si="25"/>
        <v>168.8</v>
      </c>
      <c r="N319" s="405"/>
      <c r="O319" s="541"/>
      <c r="P319" s="405"/>
      <c r="Q319" s="405"/>
      <c r="S319" s="344" t="str">
        <f t="shared" si="26"/>
        <v xml:space="preserve">JATEAMENTO COM AREIA EM ESTRUTURA METALICA </v>
      </c>
    </row>
    <row r="320" spans="1:19" s="414" customFormat="1">
      <c r="A320" s="410" t="s">
        <v>416</v>
      </c>
      <c r="B320" s="411"/>
      <c r="C320" s="410"/>
      <c r="D320" s="613" t="s">
        <v>2117</v>
      </c>
      <c r="E320" s="424"/>
      <c r="F320" s="422"/>
      <c r="G320" s="413"/>
      <c r="H320" s="413"/>
      <c r="I320" s="413"/>
      <c r="J320" s="413"/>
      <c r="K320" s="498"/>
      <c r="L320" s="474"/>
      <c r="M320" s="471"/>
      <c r="N320" s="419"/>
      <c r="O320" s="541"/>
      <c r="P320" s="419"/>
      <c r="Q320" s="419"/>
      <c r="S320" s="414" t="str">
        <f t="shared" si="26"/>
        <v>PRIMER EPÓXI</v>
      </c>
    </row>
    <row r="321" spans="1:19" s="344" customFormat="1" ht="25.5">
      <c r="A321" s="49" t="s">
        <v>415</v>
      </c>
      <c r="B321" s="49" t="str">
        <f>'[3]Plan Tron'!B80</f>
        <v xml:space="preserve">73865/001 </v>
      </c>
      <c r="C321" s="49" t="str">
        <f>'[3]Plan Tron'!C80</f>
        <v>SINAPI</v>
      </c>
      <c r="D321" s="26" t="str">
        <f>'[3]Plan Tron'!D80</f>
        <v>FUNDO PREPARADOR PRIMER A BASE DE EPOXI, PARA ESTRUTURA METALICA, UMA DEMAO, ESPESSURA DE 25 MICRA.</v>
      </c>
      <c r="E321" s="77" t="str">
        <f>'[3]Plan Tron'!E80</f>
        <v>M²</v>
      </c>
      <c r="F321" s="21">
        <v>9.2899999999999991</v>
      </c>
      <c r="G321" s="10">
        <v>6.36</v>
      </c>
      <c r="H321" s="10">
        <f>'[3]Plan Tron'!F80</f>
        <v>7.89</v>
      </c>
      <c r="I321" s="10">
        <v>26.44</v>
      </c>
      <c r="J321" s="10">
        <f>ROUND(H321*(I321/100+1),2)</f>
        <v>9.98</v>
      </c>
      <c r="K321" s="383">
        <v>0</v>
      </c>
      <c r="L321" s="474">
        <f>F321-K321</f>
        <v>9.2899999999999991</v>
      </c>
      <c r="M321" s="471">
        <f t="shared" si="25"/>
        <v>92.71</v>
      </c>
      <c r="N321" s="405"/>
      <c r="O321" s="541"/>
      <c r="P321" s="405"/>
      <c r="Q321" s="405"/>
      <c r="S321" s="344" t="str">
        <f t="shared" si="26"/>
        <v>FUNDO PREPARADOR PRIMER A BASE DE EPOXI, PARA ESTRUTURA METALICA, UMA DEMAO, ESPESSURA DE 25 MICRA.</v>
      </c>
    </row>
    <row r="322" spans="1:19" s="414" customFormat="1">
      <c r="A322" s="410" t="s">
        <v>142</v>
      </c>
      <c r="B322" s="411"/>
      <c r="C322" s="410"/>
      <c r="D322" s="613" t="s">
        <v>2118</v>
      </c>
      <c r="E322" s="424"/>
      <c r="F322" s="422"/>
      <c r="G322" s="413"/>
      <c r="H322" s="413"/>
      <c r="I322" s="413"/>
      <c r="J322" s="413"/>
      <c r="K322" s="498"/>
      <c r="L322" s="474"/>
      <c r="M322" s="471"/>
      <c r="N322" s="419"/>
      <c r="O322" s="541"/>
      <c r="P322" s="419"/>
      <c r="Q322" s="419"/>
      <c r="S322" s="414" t="str">
        <f t="shared" si="26"/>
        <v>PINTURA ESMALTE</v>
      </c>
    </row>
    <row r="323" spans="1:19" s="344" customFormat="1">
      <c r="A323" s="49" t="s">
        <v>141</v>
      </c>
      <c r="B323" s="49" t="str">
        <f>'[3]Plan Tron'!B81</f>
        <v xml:space="preserve">73924/003 </v>
      </c>
      <c r="C323" s="49" t="str">
        <f>'[3]Plan Tron'!C81</f>
        <v>SINAPI</v>
      </c>
      <c r="D323" s="26" t="str">
        <f>'[3]Plan Tron'!D81</f>
        <v xml:space="preserve">PINTURA ESMALTE FOSCO, DUAS DEMAOS, SOBRE SUPERFICIE METALICA </v>
      </c>
      <c r="E323" s="77" t="str">
        <f>'[3]Plan Tron'!E81</f>
        <v>M²</v>
      </c>
      <c r="F323" s="21">
        <v>9.2899999999999991</v>
      </c>
      <c r="G323" s="10">
        <v>17.38</v>
      </c>
      <c r="H323" s="10">
        <f>'[3]Plan Tron'!F81</f>
        <v>23.73</v>
      </c>
      <c r="I323" s="10">
        <v>26.44</v>
      </c>
      <c r="J323" s="10">
        <f>ROUND(H323*(I323/100+1),2)</f>
        <v>30</v>
      </c>
      <c r="K323" s="383">
        <v>0</v>
      </c>
      <c r="L323" s="474">
        <f>F323-K323</f>
        <v>9.2899999999999991</v>
      </c>
      <c r="M323" s="471">
        <f t="shared" si="25"/>
        <v>278.7</v>
      </c>
      <c r="N323" s="405"/>
      <c r="O323" s="541"/>
      <c r="P323" s="405"/>
      <c r="Q323" s="405"/>
      <c r="S323" s="344" t="str">
        <f t="shared" si="26"/>
        <v xml:space="preserve">PINTURA ESMALTE FOSCO, DUAS DEMAOS, SOBRE SUPERFICIE METALICA </v>
      </c>
    </row>
    <row r="324" spans="1:19" s="414" customFormat="1">
      <c r="A324" s="410" t="s">
        <v>414</v>
      </c>
      <c r="B324" s="411"/>
      <c r="C324" s="410"/>
      <c r="D324" s="613" t="s">
        <v>2108</v>
      </c>
      <c r="E324" s="424"/>
      <c r="F324" s="422"/>
      <c r="G324" s="413"/>
      <c r="H324" s="413"/>
      <c r="I324" s="413"/>
      <c r="J324" s="413"/>
      <c r="K324" s="498"/>
      <c r="L324" s="474"/>
      <c r="M324" s="471"/>
      <c r="N324" s="419"/>
      <c r="O324" s="541"/>
      <c r="P324" s="419"/>
      <c r="Q324" s="419"/>
      <c r="S324" s="414" t="str">
        <f t="shared" si="26"/>
        <v>PINTURA DE PAREDE</v>
      </c>
    </row>
    <row r="325" spans="1:19" s="414" customFormat="1">
      <c r="A325" s="410" t="s">
        <v>413</v>
      </c>
      <c r="B325" s="411"/>
      <c r="C325" s="410"/>
      <c r="D325" s="613" t="s">
        <v>2119</v>
      </c>
      <c r="E325" s="424"/>
      <c r="F325" s="422"/>
      <c r="G325" s="413"/>
      <c r="H325" s="413"/>
      <c r="I325" s="413"/>
      <c r="J325" s="413"/>
      <c r="K325" s="498"/>
      <c r="L325" s="474"/>
      <c r="M325" s="471"/>
      <c r="N325" s="419"/>
      <c r="O325" s="541"/>
      <c r="P325" s="419"/>
      <c r="Q325" s="419"/>
      <c r="S325" s="414" t="str">
        <f t="shared" si="26"/>
        <v>PINTURA LÁTEX ACRÍLICA EXTERNA/INTERNA S/SELADOR</v>
      </c>
    </row>
    <row r="326" spans="1:19" s="344" customFormat="1">
      <c r="A326" s="49" t="s">
        <v>412</v>
      </c>
      <c r="B326" s="49" t="str">
        <f>'[3]Plan Tron'!B72</f>
        <v xml:space="preserve">88489 </v>
      </c>
      <c r="C326" s="49" t="str">
        <f>'[3]Plan Tron'!C72</f>
        <v>SINAPI</v>
      </c>
      <c r="D326" s="26" t="str">
        <f>'[3]Plan Tron'!D72</f>
        <v>APLICAÇÃO MANUAL DE PINTURA COM TINTA LÁTEX ACRÍLICA EM PAREDES, DUAS DEMÃOS. AF_06/2014</v>
      </c>
      <c r="E326" s="24" t="str">
        <f>'[3]Plan Tron'!E72</f>
        <v>M²</v>
      </c>
      <c r="F326" s="21">
        <v>0.62</v>
      </c>
      <c r="G326" s="10">
        <v>8.39</v>
      </c>
      <c r="H326" s="10">
        <f>'[3]Plan Tron'!F72</f>
        <v>9.69</v>
      </c>
      <c r="I326" s="10">
        <v>26.44</v>
      </c>
      <c r="J326" s="10">
        <f>ROUND(H326*(I326/100+1),2)</f>
        <v>12.25</v>
      </c>
      <c r="K326" s="383">
        <v>0</v>
      </c>
      <c r="L326" s="474">
        <f>F326-K326</f>
        <v>0.62</v>
      </c>
      <c r="M326" s="471">
        <f t="shared" si="25"/>
        <v>7.6</v>
      </c>
      <c r="N326" s="405"/>
      <c r="O326" s="541"/>
      <c r="P326" s="405"/>
      <c r="Q326" s="405"/>
      <c r="S326" s="344" t="str">
        <f t="shared" si="26"/>
        <v>APLICAÇÃO MANUAL DE PINTURA COM TINTA LÁTEX ACRÍLICA EM PAREDES, DUAS DEMÃOS. AF_06/2014</v>
      </c>
    </row>
    <row r="327" spans="1:19" s="344" customFormat="1">
      <c r="A327" s="49"/>
      <c r="B327" s="11"/>
      <c r="C327" s="49"/>
      <c r="D327" s="452"/>
      <c r="E327" s="24"/>
      <c r="F327" s="76"/>
      <c r="G327" s="13"/>
      <c r="H327" s="13"/>
      <c r="I327" s="13"/>
      <c r="J327" s="13"/>
      <c r="K327" s="452"/>
      <c r="L327" s="474"/>
      <c r="M327" s="471"/>
      <c r="N327" s="405"/>
      <c r="O327" s="541"/>
      <c r="P327" s="405"/>
      <c r="Q327" s="405"/>
    </row>
    <row r="328" spans="1:19" s="344" customFormat="1">
      <c r="A328" s="49"/>
      <c r="B328" s="11"/>
      <c r="C328" s="49"/>
      <c r="D328" s="397" t="s">
        <v>76</v>
      </c>
      <c r="E328" s="24"/>
      <c r="F328" s="76"/>
      <c r="G328" s="13"/>
      <c r="H328" s="13"/>
      <c r="I328" s="13"/>
      <c r="J328" s="13"/>
      <c r="K328" s="383"/>
      <c r="L328" s="474"/>
      <c r="M328" s="471"/>
      <c r="N328" s="405"/>
      <c r="O328" s="541"/>
      <c r="P328" s="405"/>
      <c r="Q328" s="405"/>
      <c r="S328" s="344" t="str">
        <f>UPPER(D328)</f>
        <v/>
      </c>
    </row>
    <row r="329" spans="1:19" s="344" customFormat="1">
      <c r="A329" s="45">
        <v>4</v>
      </c>
      <c r="B329" s="11"/>
      <c r="C329" s="45"/>
      <c r="D329" s="397" t="s">
        <v>2120</v>
      </c>
      <c r="E329" s="24"/>
      <c r="F329" s="21"/>
      <c r="G329" s="10"/>
      <c r="H329" s="10"/>
      <c r="I329" s="10"/>
      <c r="J329" s="10"/>
      <c r="K329" s="383"/>
      <c r="L329" s="474"/>
      <c r="M329" s="471"/>
      <c r="N329" s="405"/>
      <c r="O329" s="541"/>
      <c r="P329" s="405"/>
      <c r="Q329" s="405"/>
      <c r="S329" s="344" t="str">
        <f>UPPER(D329)</f>
        <v>MÃO DE OBRA EMPREGADA</v>
      </c>
    </row>
    <row r="330" spans="1:19" s="344" customFormat="1" ht="25.5">
      <c r="A330" s="49" t="s">
        <v>139</v>
      </c>
      <c r="B330" s="332">
        <f>'[3]Plan Tron'!B187</f>
        <v>6166</v>
      </c>
      <c r="C330" s="332" t="str">
        <f>'[3]Plan Tron'!C187</f>
        <v>SINAPI (INSUMO)</v>
      </c>
      <c r="D330" s="614" t="str">
        <f>'[3]Plan Tron'!D187</f>
        <v>SOLDADOR A (PARA SOLDA A SER TESTADA COM RAIOS "X"</v>
      </c>
      <c r="E330" s="332" t="str">
        <f>'[3]Plan Tron'!E187</f>
        <v>H</v>
      </c>
      <c r="F330" s="21">
        <v>18.78</v>
      </c>
      <c r="G330" s="10">
        <v>21.58</v>
      </c>
      <c r="H330" s="10">
        <f>'[3]Plan Tron'!F187</f>
        <v>25.6</v>
      </c>
      <c r="I330" s="10">
        <v>26.44</v>
      </c>
      <c r="J330" s="10">
        <f>ROUND(H330*(I330/100+1),2)</f>
        <v>32.369999999999997</v>
      </c>
      <c r="K330" s="383">
        <v>0</v>
      </c>
      <c r="L330" s="474">
        <f>F330-K330</f>
        <v>18.78</v>
      </c>
      <c r="M330" s="471">
        <f t="shared" si="25"/>
        <v>607.91</v>
      </c>
      <c r="N330" s="405"/>
      <c r="O330" s="541"/>
      <c r="P330" s="405"/>
      <c r="Q330" s="405"/>
      <c r="S330" s="344" t="str">
        <f>UPPER(D330)</f>
        <v>SOLDADOR A (PARA SOLDA A SER TESTADA COM RAIOS "X"</v>
      </c>
    </row>
    <row r="331" spans="1:19" s="344" customFormat="1" ht="25.5">
      <c r="A331" s="49" t="s">
        <v>411</v>
      </c>
      <c r="B331" s="332">
        <f>'[3]Plan Tron'!B188</f>
        <v>25957</v>
      </c>
      <c r="C331" s="332" t="str">
        <f>'[3]Plan Tron'!C188</f>
        <v>SINAPI (INSUMO)</v>
      </c>
      <c r="D331" s="614" t="str">
        <f>'[3]Plan Tron'!D188</f>
        <v xml:space="preserve"> MONTADOR DE ESTRUTURA METALICA </v>
      </c>
      <c r="E331" s="332" t="str">
        <f>'[3]Plan Tron'!E188</f>
        <v>H</v>
      </c>
      <c r="F331" s="21">
        <v>18.78</v>
      </c>
      <c r="G331" s="10">
        <v>10.59</v>
      </c>
      <c r="H331" s="10">
        <f>'[3]Plan Tron'!F188</f>
        <v>12.56</v>
      </c>
      <c r="I331" s="10">
        <v>26.44</v>
      </c>
      <c r="J331" s="10">
        <f>ROUND(H331*(I331/100+1),2)</f>
        <v>15.88</v>
      </c>
      <c r="K331" s="383">
        <v>0</v>
      </c>
      <c r="L331" s="474">
        <f>F331-K331</f>
        <v>18.78</v>
      </c>
      <c r="M331" s="471">
        <f t="shared" si="25"/>
        <v>298.23</v>
      </c>
      <c r="N331" s="405"/>
      <c r="O331" s="541"/>
      <c r="P331" s="405"/>
      <c r="Q331" s="405"/>
      <c r="S331" s="344" t="str">
        <f>UPPER(D331)</f>
        <v xml:space="preserve"> MONTADOR DE ESTRUTURA METALICA </v>
      </c>
    </row>
    <row r="332" spans="1:19" s="344" customFormat="1" ht="25.5">
      <c r="A332" s="49" t="s">
        <v>410</v>
      </c>
      <c r="B332" s="332">
        <f>'[3]Plan Tron'!B189</f>
        <v>25958</v>
      </c>
      <c r="C332" s="332" t="str">
        <f>'[3]Plan Tron'!C189</f>
        <v>SINAPI (INSUMO)</v>
      </c>
      <c r="D332" s="614" t="str">
        <f>'[3]Plan Tron'!D189</f>
        <v xml:space="preserve">AJUDANTE DE ESTRUTURA METALICA </v>
      </c>
      <c r="E332" s="332" t="str">
        <f>'[3]Plan Tron'!E189</f>
        <v>H</v>
      </c>
      <c r="F332" s="10">
        <v>18.78</v>
      </c>
      <c r="G332" s="21">
        <v>6.71</v>
      </c>
      <c r="H332" s="10">
        <f>'[3]Plan Tron'!F189</f>
        <v>7.95</v>
      </c>
      <c r="I332" s="10">
        <v>26.44</v>
      </c>
      <c r="J332" s="10">
        <f>ROUND(H332*(I332/100+1),2)</f>
        <v>10.050000000000001</v>
      </c>
      <c r="K332" s="383">
        <v>0</v>
      </c>
      <c r="L332" s="474">
        <f>F332-K332</f>
        <v>18.78</v>
      </c>
      <c r="M332" s="471">
        <f t="shared" si="25"/>
        <v>188.74</v>
      </c>
      <c r="N332" s="405"/>
      <c r="O332" s="541"/>
      <c r="P332" s="405"/>
      <c r="Q332" s="405"/>
      <c r="S332" s="344" t="str">
        <f>UPPER(D332)</f>
        <v xml:space="preserve">AJUDANTE DE ESTRUTURA METALICA </v>
      </c>
    </row>
    <row r="333" spans="1:19">
      <c r="A333" s="49"/>
      <c r="B333" s="11"/>
      <c r="C333" s="49"/>
      <c r="D333" s="452"/>
      <c r="E333" s="24"/>
      <c r="F333" s="76"/>
      <c r="G333" s="319"/>
      <c r="H333" s="13"/>
      <c r="I333" s="13"/>
      <c r="J333" s="13"/>
      <c r="K333" s="452"/>
      <c r="L333" s="474"/>
      <c r="M333" s="472"/>
      <c r="N333" s="405"/>
      <c r="O333" s="541"/>
      <c r="P333" s="405"/>
      <c r="Q333" s="405"/>
    </row>
    <row r="334" spans="1:19">
      <c r="A334" s="296"/>
      <c r="B334" s="44"/>
      <c r="C334" s="44"/>
      <c r="D334" s="511" t="s">
        <v>2354</v>
      </c>
      <c r="E334" s="297"/>
      <c r="F334" s="44"/>
      <c r="G334" s="302"/>
      <c r="H334" s="339"/>
      <c r="I334" s="44"/>
      <c r="J334" s="44"/>
      <c r="K334" s="506"/>
      <c r="L334" s="508"/>
      <c r="M334" s="505">
        <f>SUM(M304:M333)</f>
        <v>1840.3700000000001</v>
      </c>
      <c r="N334" s="405"/>
      <c r="O334" s="541"/>
      <c r="P334" s="405"/>
      <c r="Q334" s="405"/>
      <c r="S334" s="344" t="str">
        <f>UPPER(D334)</f>
        <v>TOTAL ITEM 10</v>
      </c>
    </row>
    <row r="335" spans="1:19">
      <c r="A335" s="296"/>
      <c r="B335" s="44"/>
      <c r="C335" s="44"/>
      <c r="D335" s="462"/>
      <c r="E335" s="297"/>
      <c r="F335" s="44"/>
      <c r="G335" s="302"/>
      <c r="H335" s="339"/>
      <c r="I335" s="44"/>
      <c r="J335" s="44"/>
      <c r="K335" s="383"/>
      <c r="L335" s="474"/>
      <c r="M335" s="471"/>
      <c r="N335" s="405"/>
      <c r="O335" s="541"/>
      <c r="P335" s="405"/>
      <c r="Q335" s="405"/>
    </row>
    <row r="336" spans="1:19">
      <c r="A336" s="296"/>
      <c r="B336" s="44"/>
      <c r="C336" s="44"/>
      <c r="D336" s="442" t="s">
        <v>76</v>
      </c>
      <c r="E336" s="297" t="s">
        <v>76</v>
      </c>
      <c r="F336" s="44"/>
      <c r="G336" s="302"/>
      <c r="H336" s="339"/>
      <c r="I336" s="44"/>
      <c r="J336" s="44"/>
      <c r="K336" s="383"/>
      <c r="L336" s="474"/>
      <c r="M336" s="471"/>
      <c r="N336" s="405"/>
      <c r="O336" s="541"/>
      <c r="P336" s="405"/>
      <c r="Q336" s="405"/>
      <c r="S336" s="344" t="str">
        <f t="shared" ref="S336:S359" si="27">UPPER(D336)</f>
        <v/>
      </c>
    </row>
    <row r="337" spans="1:19" s="450" customFormat="1">
      <c r="A337" s="445">
        <v>12</v>
      </c>
      <c r="B337" s="446"/>
      <c r="C337" s="447"/>
      <c r="D337" s="448" t="s">
        <v>2</v>
      </c>
      <c r="E337" s="453" t="s">
        <v>76</v>
      </c>
      <c r="F337" s="446"/>
      <c r="G337" s="446"/>
      <c r="H337" s="446"/>
      <c r="I337" s="446"/>
      <c r="J337" s="446"/>
      <c r="K337" s="473"/>
      <c r="L337" s="478"/>
      <c r="M337" s="479"/>
      <c r="N337" s="454"/>
      <c r="O337" s="541"/>
      <c r="P337" s="454"/>
      <c r="Q337" s="454"/>
      <c r="S337" s="450" t="str">
        <f t="shared" si="27"/>
        <v>MÓDULO DE TRATAMENTO</v>
      </c>
    </row>
    <row r="338" spans="1:19" s="450" customFormat="1">
      <c r="A338" s="445" t="s">
        <v>68</v>
      </c>
      <c r="B338" s="446"/>
      <c r="C338" s="447"/>
      <c r="D338" s="448" t="s">
        <v>2</v>
      </c>
      <c r="E338" s="453" t="s">
        <v>76</v>
      </c>
      <c r="F338" s="446"/>
      <c r="G338" s="446"/>
      <c r="H338" s="446"/>
      <c r="I338" s="446"/>
      <c r="J338" s="446"/>
      <c r="K338" s="473"/>
      <c r="L338" s="478"/>
      <c r="M338" s="479"/>
      <c r="N338" s="454"/>
      <c r="O338" s="541"/>
      <c r="P338" s="454"/>
      <c r="Q338" s="454"/>
      <c r="S338" s="450" t="str">
        <f t="shared" si="27"/>
        <v>MÓDULO DE TRATAMENTO</v>
      </c>
    </row>
    <row r="339" spans="1:19" s="344" customFormat="1">
      <c r="A339" s="59">
        <v>1</v>
      </c>
      <c r="B339" s="79"/>
      <c r="C339" s="59"/>
      <c r="D339" s="396" t="s">
        <v>2054</v>
      </c>
      <c r="E339" s="18" t="s">
        <v>76</v>
      </c>
      <c r="F339" s="78"/>
      <c r="G339" s="51"/>
      <c r="H339" s="51"/>
      <c r="I339" s="51"/>
      <c r="J339" s="51"/>
      <c r="K339" s="383"/>
      <c r="L339" s="474"/>
      <c r="M339" s="471"/>
      <c r="N339" s="405"/>
      <c r="O339" s="541"/>
      <c r="P339" s="405"/>
      <c r="Q339" s="405"/>
      <c r="S339" s="344" t="str">
        <f t="shared" si="27"/>
        <v>FUNDAÇÕES E ESTRUTURAS</v>
      </c>
    </row>
    <row r="340" spans="1:19" s="414" customFormat="1" hidden="1">
      <c r="A340" s="410" t="s">
        <v>20</v>
      </c>
      <c r="B340" s="425"/>
      <c r="C340" s="410"/>
      <c r="D340" s="420" t="s">
        <v>2112</v>
      </c>
      <c r="E340" s="424" t="s">
        <v>76</v>
      </c>
      <c r="F340" s="422"/>
      <c r="G340" s="413"/>
      <c r="H340" s="413"/>
      <c r="I340" s="413"/>
      <c r="J340" s="413"/>
      <c r="K340" s="498"/>
      <c r="L340" s="474"/>
      <c r="M340" s="471"/>
      <c r="N340" s="419"/>
      <c r="O340" s="541"/>
      <c r="P340" s="419"/>
      <c r="Q340" s="419"/>
      <c r="S340" s="414" t="str">
        <f t="shared" si="27"/>
        <v>ESTACAS</v>
      </c>
    </row>
    <row r="341" spans="1:19" s="344" customFormat="1" ht="25.5" hidden="1">
      <c r="A341" s="49" t="s">
        <v>153</v>
      </c>
      <c r="B341" s="746">
        <f>'[3]Plan Tron'!B73</f>
        <v>90808</v>
      </c>
      <c r="C341" s="49" t="str">
        <f>'[3]Plan Tron'!C73</f>
        <v>SINAPI</v>
      </c>
      <c r="D341" s="35" t="str">
        <f>'[3]Plan Tron'!D73</f>
        <v>ESTACA HÉLICE CONTÍNUA, DIÂMETRO DE 30 CM, COMPRIMENTO TOTAL ATÉ 15 M, PERFURATRIZ COM TORQUE DE 170 KN.M (EXCLUSIVE MOBILIZAÇÃO E DESMOBILIZAÇÃO). AF_02/2015</v>
      </c>
      <c r="E341" s="24" t="str">
        <f>'[3]Plan Tron'!E73</f>
        <v>M</v>
      </c>
      <c r="F341" s="21">
        <v>1755</v>
      </c>
      <c r="G341" s="10">
        <v>21</v>
      </c>
      <c r="H341" s="10">
        <f>'[3]Plan Tron'!F73</f>
        <v>59.34</v>
      </c>
      <c r="I341" s="10">
        <v>26.44</v>
      </c>
      <c r="J341" s="10">
        <f>ROUND(H341*(I341/100+1),2)</f>
        <v>75.03</v>
      </c>
      <c r="K341" s="383">
        <v>1755</v>
      </c>
      <c r="L341" s="474">
        <f>F341-K341</f>
        <v>0</v>
      </c>
      <c r="M341" s="471">
        <f t="shared" ref="M341:M404" si="28">ROUND(L341*J341,2)</f>
        <v>0</v>
      </c>
      <c r="N341" s="405"/>
      <c r="O341" s="541"/>
      <c r="P341" s="405"/>
      <c r="Q341" s="405"/>
      <c r="S341" s="344" t="str">
        <f t="shared" si="27"/>
        <v>ESTACA HÉLICE CONTÍNUA, DIÂMETRO DE 30 CM, COMPRIMENTO TOTAL ATÉ 15 M, PERFURATRIZ COM TORQUE DE 170 KN.M (EXCLUSIVE MOBILIZAÇÃO E DESMOBILIZAÇÃO). AF_02/2015</v>
      </c>
    </row>
    <row r="342" spans="1:19" s="755" customFormat="1" hidden="1">
      <c r="A342" s="747" t="s">
        <v>19</v>
      </c>
      <c r="B342" s="748"/>
      <c r="C342" s="749"/>
      <c r="D342" s="750" t="s">
        <v>2055</v>
      </c>
      <c r="E342" s="751"/>
      <c r="F342" s="752"/>
      <c r="G342" s="753"/>
      <c r="H342" s="753"/>
      <c r="I342" s="754"/>
      <c r="J342" s="754"/>
      <c r="K342" s="720"/>
      <c r="L342" s="474"/>
      <c r="M342" s="471"/>
      <c r="N342" s="721"/>
      <c r="O342" s="541"/>
      <c r="P342" s="721"/>
      <c r="Q342" s="721"/>
      <c r="S342" s="755" t="str">
        <f t="shared" si="27"/>
        <v>LASTROS / FUNDAÇÕES DIRETAS</v>
      </c>
    </row>
    <row r="343" spans="1:19" s="758" customFormat="1" hidden="1">
      <c r="A343" s="747" t="s">
        <v>147</v>
      </c>
      <c r="B343" s="748"/>
      <c r="C343" s="749"/>
      <c r="D343" s="750" t="s">
        <v>2056</v>
      </c>
      <c r="E343" s="756"/>
      <c r="F343" s="752"/>
      <c r="G343" s="753"/>
      <c r="H343" s="753"/>
      <c r="I343" s="754"/>
      <c r="J343" s="754"/>
      <c r="K343" s="720"/>
      <c r="L343" s="474"/>
      <c r="M343" s="471"/>
      <c r="N343" s="757"/>
      <c r="O343" s="541"/>
      <c r="P343" s="757"/>
      <c r="Q343" s="757"/>
      <c r="S343" s="758" t="str">
        <f t="shared" si="27"/>
        <v>LASTRO DE PEDRA BRITADA E FUNDAÇÕES EM BALDRAME.</v>
      </c>
    </row>
    <row r="344" spans="1:19" s="344" customFormat="1" hidden="1">
      <c r="A344" s="55" t="s">
        <v>146</v>
      </c>
      <c r="B344" s="49">
        <f>'[3]Plan Tron'!B18</f>
        <v>6514</v>
      </c>
      <c r="C344" s="49" t="str">
        <f>'[3]Plan Tron'!C18</f>
        <v>SINAPI</v>
      </c>
      <c r="D344" s="35" t="str">
        <f>'[3]Plan Tron'!D18</f>
        <v xml:space="preserve">FORNECIMENTO E LANCAMENTO DE BRITA N. 4 </v>
      </c>
      <c r="E344" s="672" t="str">
        <f>'[3]Plan Tron'!E18</f>
        <v>M³</v>
      </c>
      <c r="F344" s="78">
        <v>151.69999999999999</v>
      </c>
      <c r="G344" s="20">
        <f>G78</f>
        <v>74.28</v>
      </c>
      <c r="H344" s="20">
        <f>'[3]Plan Tron'!F18</f>
        <v>88.38</v>
      </c>
      <c r="I344" s="10">
        <v>26.44</v>
      </c>
      <c r="J344" s="10">
        <f>ROUND(H344*(I344/100+1),2)</f>
        <v>111.75</v>
      </c>
      <c r="K344" s="383">
        <v>151.69999999999999</v>
      </c>
      <c r="L344" s="474">
        <f>F344-K344</f>
        <v>0</v>
      </c>
      <c r="M344" s="471">
        <f t="shared" si="28"/>
        <v>0</v>
      </c>
      <c r="N344" s="405"/>
      <c r="O344" s="541"/>
      <c r="P344" s="405"/>
      <c r="Q344" s="405"/>
      <c r="S344" s="344" t="str">
        <f t="shared" si="27"/>
        <v xml:space="preserve">FORNECIMENTO E LANCAMENTO DE BRITA N. 4 </v>
      </c>
    </row>
    <row r="345" spans="1:19" s="414" customFormat="1">
      <c r="A345" s="650" t="s">
        <v>18</v>
      </c>
      <c r="B345" s="425"/>
      <c r="C345" s="410"/>
      <c r="D345" s="420" t="s">
        <v>2058</v>
      </c>
      <c r="E345" s="421"/>
      <c r="F345" s="759"/>
      <c r="G345" s="430"/>
      <c r="H345" s="430"/>
      <c r="I345" s="413"/>
      <c r="J345" s="413"/>
      <c r="K345" s="498"/>
      <c r="L345" s="474"/>
      <c r="M345" s="471"/>
      <c r="N345" s="419"/>
      <c r="O345" s="541"/>
      <c r="P345" s="419"/>
      <c r="Q345" s="419"/>
      <c r="S345" s="414" t="str">
        <f t="shared" si="27"/>
        <v>FORMAS / CIMBRAMENTOS / ESCORAMENTOS</v>
      </c>
    </row>
    <row r="346" spans="1:19" s="344" customFormat="1">
      <c r="A346" s="55" t="s">
        <v>201</v>
      </c>
      <c r="B346" s="49">
        <f>'[3]Plan Tron'!B20</f>
        <v>5651</v>
      </c>
      <c r="C346" s="49" t="str">
        <f>'[3]Plan Tron'!C20</f>
        <v>SINAPI</v>
      </c>
      <c r="D346" s="612" t="str">
        <f>'[3]Plan Tron'!D20</f>
        <v>FORMA DE MADEIRA COMUM PARA FUNDAÇÕES - REAPROVEITAMENTO 5X.</v>
      </c>
      <c r="E346" s="49" t="str">
        <f>'[3]Plan Tron'!E20</f>
        <v>M²</v>
      </c>
      <c r="F346" s="20">
        <v>4213.9399999999996</v>
      </c>
      <c r="G346" s="51">
        <v>22.96</v>
      </c>
      <c r="H346" s="51">
        <f>'[3]Plan Tron'!F20</f>
        <v>29.01</v>
      </c>
      <c r="I346" s="10">
        <v>26.44</v>
      </c>
      <c r="J346" s="10">
        <f>ROUND(H346*(I346/100+1),2)</f>
        <v>36.68</v>
      </c>
      <c r="K346" s="383">
        <v>1446.864</v>
      </c>
      <c r="L346" s="474">
        <f>F346-K346</f>
        <v>2767.0759999999996</v>
      </c>
      <c r="M346" s="471">
        <f t="shared" si="28"/>
        <v>101496.35</v>
      </c>
      <c r="N346" s="405"/>
      <c r="O346" s="541"/>
      <c r="P346" s="405"/>
      <c r="Q346" s="405"/>
      <c r="S346" s="344" t="str">
        <f t="shared" si="27"/>
        <v>FORMA DE MADEIRA COMUM PARA FUNDAÇÕES - REAPROVEITAMENTO 5X.</v>
      </c>
    </row>
    <row r="347" spans="1:19" s="731" customFormat="1">
      <c r="A347" s="347" t="s">
        <v>198</v>
      </c>
      <c r="B347" s="332" t="str">
        <f>'[3]Plan Tron'!B66</f>
        <v xml:space="preserve">080202 </v>
      </c>
      <c r="C347" s="332" t="str">
        <f>'[3]Plan Tron'!C66</f>
        <v>CPOS</v>
      </c>
      <c r="D347" s="63" t="str">
        <f>'[3]Plan Tron'!D66</f>
        <v>CIMBRAMENTO EM MADEIRA COM ESTRONCAS DE EUCALIPTO</v>
      </c>
      <c r="E347" s="741" t="str">
        <f>'[3]Plan Tron'!E66</f>
        <v>M³</v>
      </c>
      <c r="F347" s="217">
        <v>1534.39</v>
      </c>
      <c r="G347" s="742">
        <v>25.02</v>
      </c>
      <c r="H347" s="742">
        <f>'[3]Plan Tron'!F66</f>
        <v>27.46</v>
      </c>
      <c r="I347" s="353">
        <v>26.44</v>
      </c>
      <c r="J347" s="353">
        <f>ROUND(H347*(I347/100+1),2)</f>
        <v>34.72</v>
      </c>
      <c r="K347" s="727">
        <v>0</v>
      </c>
      <c r="L347" s="728">
        <f>F347-K347</f>
        <v>1534.39</v>
      </c>
      <c r="M347" s="471">
        <f t="shared" si="28"/>
        <v>53274.02</v>
      </c>
      <c r="N347" s="729"/>
      <c r="O347" s="730"/>
      <c r="P347" s="729"/>
      <c r="Q347" s="729"/>
      <c r="S347" s="731" t="str">
        <f t="shared" si="27"/>
        <v>CIMBRAMENTO EM MADEIRA COM ESTRONCAS DE EUCALIPTO</v>
      </c>
    </row>
    <row r="348" spans="1:19" s="744" customFormat="1">
      <c r="A348" s="650" t="s">
        <v>390</v>
      </c>
      <c r="B348" s="425"/>
      <c r="C348" s="410"/>
      <c r="D348" s="420" t="s">
        <v>2121</v>
      </c>
      <c r="E348" s="640"/>
      <c r="F348" s="659"/>
      <c r="G348" s="430"/>
      <c r="H348" s="430"/>
      <c r="I348" s="413"/>
      <c r="J348" s="413"/>
      <c r="K348" s="498"/>
      <c r="L348" s="474"/>
      <c r="M348" s="471"/>
      <c r="N348" s="743"/>
      <c r="O348" s="541"/>
      <c r="P348" s="743"/>
      <c r="Q348" s="743"/>
      <c r="S348" s="744" t="str">
        <f t="shared" si="27"/>
        <v>FORMA PARA FUNDAÇÃO E BALDRAME</v>
      </c>
    </row>
    <row r="349" spans="1:19" s="344" customFormat="1">
      <c r="A349" s="55" t="s">
        <v>439</v>
      </c>
      <c r="B349" s="49" t="str">
        <f>'[3]Plan Tron'!B65</f>
        <v xml:space="preserve">090206 </v>
      </c>
      <c r="C349" s="49" t="str">
        <f>'[3]Plan Tron'!C65</f>
        <v>CPOS</v>
      </c>
      <c r="D349" s="35" t="str">
        <f>'[3]Plan Tron'!D65</f>
        <v xml:space="preserve">FORMA CURVA EM COMPENSADO PARA ESTRUTURA APARENTE </v>
      </c>
      <c r="E349" s="28" t="str">
        <f>'[3]Plan Tron'!E65</f>
        <v>M²</v>
      </c>
      <c r="F349" s="20">
        <v>3.52</v>
      </c>
      <c r="G349" s="51">
        <v>32.51</v>
      </c>
      <c r="H349" s="51">
        <f>'[3]Plan Tron'!F65</f>
        <v>107.03</v>
      </c>
      <c r="I349" s="10">
        <v>26.44</v>
      </c>
      <c r="J349" s="10">
        <f>ROUND(H349*(I349/100+1),2)</f>
        <v>135.33000000000001</v>
      </c>
      <c r="K349" s="383">
        <v>0</v>
      </c>
      <c r="L349" s="474">
        <f>F349-K349</f>
        <v>3.52</v>
      </c>
      <c r="M349" s="471">
        <f t="shared" si="28"/>
        <v>476.36</v>
      </c>
      <c r="N349" s="405"/>
      <c r="O349" s="541"/>
      <c r="P349" s="405"/>
      <c r="Q349" s="405"/>
      <c r="S349" s="344" t="str">
        <f t="shared" si="27"/>
        <v xml:space="preserve">FORMA CURVA EM COMPENSADO PARA ESTRUTURA APARENTE </v>
      </c>
    </row>
    <row r="350" spans="1:19" s="414" customFormat="1">
      <c r="A350" s="650" t="s">
        <v>17</v>
      </c>
      <c r="B350" s="425"/>
      <c r="C350" s="410"/>
      <c r="D350" s="420" t="s">
        <v>2059</v>
      </c>
      <c r="E350" s="421"/>
      <c r="F350" s="659"/>
      <c r="G350" s="430"/>
      <c r="H350" s="430"/>
      <c r="I350" s="413"/>
      <c r="J350" s="413"/>
      <c r="K350" s="498"/>
      <c r="L350" s="474"/>
      <c r="M350" s="471"/>
      <c r="N350" s="419"/>
      <c r="O350" s="541"/>
      <c r="P350" s="419"/>
      <c r="Q350" s="419"/>
      <c r="S350" s="414" t="str">
        <f t="shared" si="27"/>
        <v>ARMADURAS</v>
      </c>
    </row>
    <row r="351" spans="1:19" s="414" customFormat="1">
      <c r="A351" s="650" t="s">
        <v>195</v>
      </c>
      <c r="B351" s="425"/>
      <c r="C351" s="410"/>
      <c r="D351" s="420" t="s">
        <v>2060</v>
      </c>
      <c r="E351" s="421"/>
      <c r="F351" s="430"/>
      <c r="G351" s="659"/>
      <c r="H351" s="659"/>
      <c r="I351" s="413"/>
      <c r="J351" s="413"/>
      <c r="K351" s="498"/>
      <c r="L351" s="474"/>
      <c r="M351" s="471"/>
      <c r="N351" s="419"/>
      <c r="O351" s="541"/>
      <c r="P351" s="419"/>
      <c r="Q351" s="419"/>
      <c r="S351" s="414" t="str">
        <f t="shared" si="27"/>
        <v>ARMAÇÃO EM AÇO CA-50 PARA ESTRUTURAS DE CONCRETO.</v>
      </c>
    </row>
    <row r="352" spans="1:19" s="344" customFormat="1" ht="25.5" hidden="1">
      <c r="A352" s="55" t="s">
        <v>319</v>
      </c>
      <c r="B352" s="49">
        <f>'[3]Plan Tron'!B90</f>
        <v>92763</v>
      </c>
      <c r="C352" s="49" t="str">
        <f>'[3]Plan Tron'!C90</f>
        <v>SINAPI</v>
      </c>
      <c r="D352" s="35" t="str">
        <f>'[3]Plan Tron'!D90</f>
        <v>ARMAÇÃO DE PILAR OU VIGA DE UMA ESTRUTURA CONVENCIONAL DE CONCRETO ARMADO EM UM EDIFÍCIO DE MÚLTIPLOS PAVIMENTOS UTILIZANDO AÇO CA-50 DE 12.5 MM - MONTAGEM. AF_12/2015</v>
      </c>
      <c r="E352" s="672" t="str">
        <f>'[3]Plan Tron'!E90</f>
        <v>KG</v>
      </c>
      <c r="F352" s="51">
        <v>66598.289999999994</v>
      </c>
      <c r="G352" s="20">
        <f>G85</f>
        <v>5.9</v>
      </c>
      <c r="H352" s="20">
        <f>'[3]Plan Tron'!F90</f>
        <v>6.29</v>
      </c>
      <c r="I352" s="10">
        <v>26.44</v>
      </c>
      <c r="J352" s="10">
        <f>ROUND(H352*(I352/100+1),2)</f>
        <v>7.95</v>
      </c>
      <c r="K352" s="474">
        <v>66598.2932</v>
      </c>
      <c r="L352" s="474"/>
      <c r="M352" s="471">
        <f t="shared" si="28"/>
        <v>0</v>
      </c>
      <c r="N352" s="405"/>
      <c r="O352" s="541"/>
      <c r="P352" s="405"/>
      <c r="Q352" s="405"/>
      <c r="S352" s="344" t="str">
        <f t="shared" si="27"/>
        <v>ARMAÇÃO DE PILAR OU VIGA DE UMA ESTRUTURA CONVENCIONAL DE CONCRETO ARMADO EM UM EDIFÍCIO DE MÚLTIPLOS PAVIMENTOS UTILIZANDO AÇO CA-50 DE 12.5 MM - MONTAGEM. AF_12/2015</v>
      </c>
    </row>
    <row r="353" spans="1:19" s="414" customFormat="1">
      <c r="A353" s="650" t="s">
        <v>16</v>
      </c>
      <c r="B353" s="425"/>
      <c r="C353" s="410"/>
      <c r="D353" s="420" t="s">
        <v>2061</v>
      </c>
      <c r="E353" s="421"/>
      <c r="F353" s="659"/>
      <c r="G353" s="430"/>
      <c r="H353" s="430"/>
      <c r="I353" s="413"/>
      <c r="J353" s="413"/>
      <c r="K353" s="498"/>
      <c r="L353" s="474"/>
      <c r="M353" s="471"/>
      <c r="N353" s="419"/>
      <c r="O353" s="541"/>
      <c r="P353" s="419"/>
      <c r="Q353" s="419"/>
      <c r="S353" s="414" t="str">
        <f t="shared" si="27"/>
        <v>CONCRETOS</v>
      </c>
    </row>
    <row r="354" spans="1:19" s="344" customFormat="1" hidden="1">
      <c r="A354" s="55" t="s">
        <v>270</v>
      </c>
      <c r="B354" s="49">
        <f>'[3]Plan Tron'!B24</f>
        <v>110406</v>
      </c>
      <c r="C354" s="49" t="str">
        <f>'[3]Plan Tron'!C24</f>
        <v>CPOS</v>
      </c>
      <c r="D354" s="612" t="str">
        <f>'[3]Plan Tron'!D24</f>
        <v xml:space="preserve">CONCRETO NÃO ESTRUTURAL EXECUTADO NO LOCAL, MINIMO 300KG CIMENTO/M³ </v>
      </c>
      <c r="E354" s="49" t="str">
        <f>'[3]Plan Tron'!E24</f>
        <v>M³</v>
      </c>
      <c r="F354" s="20">
        <v>25.74</v>
      </c>
      <c r="G354" s="20">
        <v>238.25</v>
      </c>
      <c r="H354" s="20">
        <f>'[3]Plan Tron'!F24</f>
        <v>279.64</v>
      </c>
      <c r="I354" s="10">
        <v>26.44</v>
      </c>
      <c r="J354" s="10">
        <f>ROUND(H354*(I354/100+1),2)</f>
        <v>353.58</v>
      </c>
      <c r="K354" s="383">
        <v>25.740000000000002</v>
      </c>
      <c r="L354" s="474">
        <f>F354-K354</f>
        <v>0</v>
      </c>
      <c r="M354" s="471">
        <f t="shared" si="28"/>
        <v>0</v>
      </c>
      <c r="N354" s="405"/>
      <c r="O354" s="541"/>
      <c r="P354" s="405"/>
      <c r="Q354" s="405"/>
      <c r="S354" s="344" t="str">
        <f t="shared" si="27"/>
        <v xml:space="preserve">CONCRETO NÃO ESTRUTURAL EXECUTADO NO LOCAL, MINIMO 300KG CIMENTO/M³ </v>
      </c>
    </row>
    <row r="355" spans="1:19" s="344" customFormat="1">
      <c r="A355" s="55" t="s">
        <v>369</v>
      </c>
      <c r="B355" s="49">
        <f>'[3]Plan Tron'!B22</f>
        <v>110402</v>
      </c>
      <c r="C355" s="49" t="str">
        <f>'[3]Plan Tron'!C22</f>
        <v>CPOS</v>
      </c>
      <c r="D355" s="35" t="str">
        <f>UPPER('[3]Plan Tron'!D22)</f>
        <v>CONCRETO NÃO ESTRUTURAL EXECUTADO NO LOCAL, MÍNIMO 150 KG CIMENTO / M³</v>
      </c>
      <c r="E355" s="672" t="str">
        <f>'[3]Plan Tron'!E22</f>
        <v>M³</v>
      </c>
      <c r="F355" s="20">
        <v>107.31</v>
      </c>
      <c r="G355" s="20">
        <v>208.25</v>
      </c>
      <c r="H355" s="20">
        <f>'[3]Plan Tron'!F22</f>
        <v>208.91</v>
      </c>
      <c r="I355" s="10">
        <v>26.44</v>
      </c>
      <c r="J355" s="10">
        <f>ROUND(H355*(I355/100+1),2)</f>
        <v>264.14999999999998</v>
      </c>
      <c r="K355" s="383">
        <v>0</v>
      </c>
      <c r="L355" s="474">
        <f>F355-K355</f>
        <v>107.31</v>
      </c>
      <c r="M355" s="471">
        <f t="shared" si="28"/>
        <v>28345.94</v>
      </c>
      <c r="N355" s="405"/>
      <c r="O355" s="541"/>
      <c r="P355" s="405"/>
      <c r="Q355" s="405"/>
      <c r="S355" s="344" t="str">
        <f t="shared" si="27"/>
        <v>CONCRETO NÃO ESTRUTURAL EXECUTADO NO LOCAL, MÍNIMO 150 KG CIMENTO / M³</v>
      </c>
    </row>
    <row r="356" spans="1:19" s="414" customFormat="1">
      <c r="A356" s="650" t="s">
        <v>367</v>
      </c>
      <c r="B356" s="425"/>
      <c r="C356" s="410"/>
      <c r="D356" s="420" t="s">
        <v>2062</v>
      </c>
      <c r="E356" s="421"/>
      <c r="F356" s="430"/>
      <c r="G356" s="659"/>
      <c r="H356" s="659"/>
      <c r="I356" s="413"/>
      <c r="J356" s="413"/>
      <c r="K356" s="498"/>
      <c r="L356" s="474"/>
      <c r="M356" s="471"/>
      <c r="N356" s="419"/>
      <c r="O356" s="541"/>
      <c r="P356" s="419"/>
      <c r="Q356" s="419"/>
      <c r="S356" s="414" t="str">
        <f t="shared" si="27"/>
        <v>CONCRETO BOMBEADO</v>
      </c>
    </row>
    <row r="357" spans="1:19" s="344" customFormat="1">
      <c r="A357" s="55" t="s">
        <v>438</v>
      </c>
      <c r="B357" s="49">
        <f>'[3]Plan Tron'!B27</f>
        <v>110132</v>
      </c>
      <c r="C357" s="49" t="str">
        <f>'[3]Plan Tron'!C27</f>
        <v>CPOS</v>
      </c>
      <c r="D357" s="612" t="str">
        <f>'[3]Plan Tron'!D27</f>
        <v xml:space="preserve">CONCRETO USINADO, FCK=30MPa - PARA BOMBEAMENTO </v>
      </c>
      <c r="E357" s="49" t="str">
        <f>'[3]Plan Tron'!E27</f>
        <v>M³</v>
      </c>
      <c r="F357" s="51">
        <v>696.34</v>
      </c>
      <c r="G357" s="20">
        <v>336.65</v>
      </c>
      <c r="H357" s="20">
        <f>'[3]Plan Tron'!F27</f>
        <v>311.94</v>
      </c>
      <c r="I357" s="10">
        <v>26.44</v>
      </c>
      <c r="J357" s="10">
        <f>ROUND(H357*(I357/100+1),2)</f>
        <v>394.42</v>
      </c>
      <c r="K357" s="383">
        <v>505.43929799999995</v>
      </c>
      <c r="L357" s="474">
        <f>F357-K357</f>
        <v>190.90070200000008</v>
      </c>
      <c r="M357" s="471">
        <f t="shared" si="28"/>
        <v>75295.05</v>
      </c>
      <c r="N357" s="405"/>
      <c r="O357" s="541"/>
      <c r="P357" s="405"/>
      <c r="Q357" s="405"/>
      <c r="S357" s="344" t="str">
        <f t="shared" si="27"/>
        <v xml:space="preserve">CONCRETO USINADO, FCK=30MPA - PARA BOMBEAMENTO </v>
      </c>
    </row>
    <row r="358" spans="1:19" s="414" customFormat="1">
      <c r="A358" s="650" t="s">
        <v>15</v>
      </c>
      <c r="B358" s="425"/>
      <c r="C358" s="410"/>
      <c r="D358" s="420" t="s">
        <v>2113</v>
      </c>
      <c r="E358" s="640"/>
      <c r="F358" s="430"/>
      <c r="G358" s="659"/>
      <c r="H358" s="659"/>
      <c r="I358" s="413"/>
      <c r="J358" s="413"/>
      <c r="K358" s="498"/>
      <c r="L358" s="474"/>
      <c r="M358" s="471"/>
      <c r="N358" s="419"/>
      <c r="O358" s="541"/>
      <c r="P358" s="419"/>
      <c r="Q358" s="419"/>
      <c r="S358" s="414" t="str">
        <f t="shared" si="27"/>
        <v>PINTURA EM CONCRETO APARENTE</v>
      </c>
    </row>
    <row r="359" spans="1:19" s="344" customFormat="1">
      <c r="A359" s="55" t="s">
        <v>249</v>
      </c>
      <c r="B359" s="49">
        <f>'[3]Plan Tron'!B75</f>
        <v>84678</v>
      </c>
      <c r="C359" s="49" t="str">
        <f>'[3]Plan Tron'!C75</f>
        <v>SINAPI</v>
      </c>
      <c r="D359" s="35" t="str">
        <f>'[3]Plan Tron'!D75</f>
        <v xml:space="preserve">VERNIZ POLIURETANO BRILHANTE EM CONCRETO OU TIJOLO, TRES DEMAOS </v>
      </c>
      <c r="E359" s="672" t="str">
        <f>'[3]Plan Tron'!E75</f>
        <v>M²</v>
      </c>
      <c r="F359" s="20">
        <v>628.01</v>
      </c>
      <c r="G359" s="51">
        <v>6.86</v>
      </c>
      <c r="H359" s="51">
        <f>'[3]Plan Tron'!F75</f>
        <v>16.84</v>
      </c>
      <c r="I359" s="10">
        <v>26.44</v>
      </c>
      <c r="J359" s="10">
        <f>ROUND(H359*(I359/100+1),2)</f>
        <v>21.29</v>
      </c>
      <c r="K359" s="383">
        <v>0</v>
      </c>
      <c r="L359" s="474">
        <f>F359-K359</f>
        <v>628.01</v>
      </c>
      <c r="M359" s="471">
        <f t="shared" si="28"/>
        <v>13370.33</v>
      </c>
      <c r="N359" s="405"/>
      <c r="O359" s="541"/>
      <c r="P359" s="405"/>
      <c r="Q359" s="405"/>
      <c r="S359" s="344" t="str">
        <f t="shared" si="27"/>
        <v xml:space="preserve">VERNIZ POLIURETANO BRILHANTE EM CONCRETO OU TIJOLO, TRES DEMAOS </v>
      </c>
    </row>
    <row r="360" spans="1:19" s="344" customFormat="1">
      <c r="A360" s="55"/>
      <c r="B360" s="22"/>
      <c r="C360" s="55"/>
      <c r="D360" s="110"/>
      <c r="E360" s="18"/>
      <c r="F360" s="20"/>
      <c r="G360" s="51"/>
      <c r="H360" s="51"/>
      <c r="I360" s="10"/>
      <c r="J360" s="10"/>
      <c r="K360" s="110"/>
      <c r="L360" s="474"/>
      <c r="M360" s="471"/>
      <c r="N360" s="405"/>
      <c r="O360" s="541"/>
      <c r="P360" s="405"/>
      <c r="Q360" s="405"/>
    </row>
    <row r="361" spans="1:19" s="344" customFormat="1">
      <c r="A361" s="55"/>
      <c r="B361" s="79"/>
      <c r="C361" s="55"/>
      <c r="D361" s="35" t="s">
        <v>76</v>
      </c>
      <c r="E361" s="18"/>
      <c r="F361" s="51"/>
      <c r="G361" s="51"/>
      <c r="H361" s="51"/>
      <c r="I361" s="10"/>
      <c r="J361" s="10"/>
      <c r="K361" s="383"/>
      <c r="L361" s="474"/>
      <c r="M361" s="471"/>
      <c r="N361" s="405"/>
      <c r="O361" s="541"/>
      <c r="P361" s="405"/>
      <c r="Q361" s="405"/>
      <c r="S361" s="344" t="str">
        <f>UPPER(D361)</f>
        <v/>
      </c>
    </row>
    <row r="362" spans="1:19" s="344" customFormat="1" hidden="1">
      <c r="A362" s="59">
        <v>2</v>
      </c>
      <c r="B362" s="29"/>
      <c r="C362" s="339"/>
      <c r="D362" s="396" t="s">
        <v>2122</v>
      </c>
      <c r="E362" s="18"/>
      <c r="F362" s="20"/>
      <c r="G362" s="20"/>
      <c r="H362" s="20"/>
      <c r="I362" s="10"/>
      <c r="J362" s="10"/>
      <c r="K362" s="383"/>
      <c r="L362" s="474"/>
      <c r="M362" s="471"/>
      <c r="N362" s="405"/>
      <c r="O362" s="541"/>
      <c r="P362" s="405"/>
      <c r="Q362" s="405"/>
      <c r="S362" s="344" t="str">
        <f>UPPER(D362)</f>
        <v>ASSENTAMENTO DE TUBOS E PEÇAS</v>
      </c>
    </row>
    <row r="363" spans="1:19" s="414" customFormat="1" hidden="1">
      <c r="A363" s="650" t="s">
        <v>9</v>
      </c>
      <c r="B363" s="425"/>
      <c r="C363" s="410"/>
      <c r="D363" s="420" t="s">
        <v>2123</v>
      </c>
      <c r="E363" s="421"/>
      <c r="F363" s="430"/>
      <c r="G363" s="659"/>
      <c r="H363" s="659"/>
      <c r="I363" s="413"/>
      <c r="J363" s="413"/>
      <c r="K363" s="498"/>
      <c r="L363" s="474"/>
      <c r="M363" s="471"/>
      <c r="N363" s="419"/>
      <c r="O363" s="541"/>
      <c r="P363" s="419"/>
      <c r="Q363" s="419"/>
      <c r="S363" s="414" t="str">
        <f>UPPER(D363)</f>
        <v>FORNECIMENTO E/OU ASSENTAMENTO DE TUBO DE PVC COM JUNTA ELÁSTICA.</v>
      </c>
    </row>
    <row r="364" spans="1:19" s="414" customFormat="1" hidden="1">
      <c r="A364" s="650" t="s">
        <v>348</v>
      </c>
      <c r="B364" s="425"/>
      <c r="C364" s="410"/>
      <c r="D364" s="706" t="s">
        <v>2124</v>
      </c>
      <c r="E364" s="640"/>
      <c r="F364" s="430"/>
      <c r="G364" s="659"/>
      <c r="H364" s="659"/>
      <c r="I364" s="413"/>
      <c r="J364" s="413"/>
      <c r="K364" s="498"/>
      <c r="L364" s="474"/>
      <c r="M364" s="471"/>
      <c r="N364" s="419"/>
      <c r="O364" s="541"/>
      <c r="P364" s="419"/>
      <c r="Q364" s="419"/>
      <c r="S364" s="414" t="str">
        <f>UPPER(D364)</f>
        <v>ASSENTAMENTO TUBO PVC, RPVC, PVC DEFOFO, PRFV P/ ÁGUA COM JE.</v>
      </c>
    </row>
    <row r="365" spans="1:19" s="344" customFormat="1" hidden="1">
      <c r="A365" s="55" t="s">
        <v>417</v>
      </c>
      <c r="B365" s="49" t="str">
        <f>'[3]Plan Tron'!B82</f>
        <v xml:space="preserve">73888/003 </v>
      </c>
      <c r="C365" s="49" t="str">
        <f>'[3]Plan Tron'!C82</f>
        <v>SINAPI</v>
      </c>
      <c r="D365" s="707" t="str">
        <f>'[3]Plan Tron'!D82</f>
        <v>ASSENTAMENTO TUBO PVC COM JUNTA ELASTICA, DN 100 MM - (OU RPVC, OU PVC DEFOFO, OU PRFV) - PARA AGUA.</v>
      </c>
      <c r="E365" s="672" t="str">
        <f>'[3]Plan Tron'!E82</f>
        <v>M</v>
      </c>
      <c r="F365" s="20">
        <v>101</v>
      </c>
      <c r="G365" s="51">
        <v>1.84</v>
      </c>
      <c r="H365" s="51">
        <f>'[3]Plan Tron'!F82</f>
        <v>2.92</v>
      </c>
      <c r="I365" s="10">
        <v>26.44</v>
      </c>
      <c r="J365" s="10">
        <f>ROUND(H365*(I365/100+1),2)</f>
        <v>3.69</v>
      </c>
      <c r="K365" s="383">
        <v>101</v>
      </c>
      <c r="L365" s="474">
        <f>F365-K365</f>
        <v>0</v>
      </c>
      <c r="M365" s="471">
        <f t="shared" si="28"/>
        <v>0</v>
      </c>
      <c r="N365" s="405"/>
      <c r="O365" s="541"/>
      <c r="P365" s="405"/>
      <c r="Q365" s="405"/>
      <c r="S365" s="344" t="str">
        <f>UPPER(D365)</f>
        <v>ASSENTAMENTO TUBO PVC COM JUNTA ELASTICA, DN 100 MM - (OU RPVC, OU PVC DEFOFO, OU PRFV) - PARA AGUA.</v>
      </c>
    </row>
    <row r="366" spans="1:19" s="344" customFormat="1" hidden="1">
      <c r="A366" s="55"/>
      <c r="B366" s="79"/>
      <c r="C366" s="55"/>
      <c r="D366" s="110"/>
      <c r="E366" s="18"/>
      <c r="F366" s="20"/>
      <c r="G366" s="20"/>
      <c r="H366" s="20"/>
      <c r="I366" s="10"/>
      <c r="J366" s="10"/>
      <c r="K366" s="110"/>
      <c r="L366" s="474"/>
      <c r="M366" s="471"/>
      <c r="N366" s="405"/>
      <c r="O366" s="541"/>
      <c r="P366" s="405"/>
      <c r="Q366" s="405"/>
    </row>
    <row r="367" spans="1:19" s="344" customFormat="1" hidden="1">
      <c r="A367" s="55"/>
      <c r="B367" s="22"/>
      <c r="C367" s="55"/>
      <c r="D367" s="396" t="s">
        <v>76</v>
      </c>
      <c r="E367" s="18"/>
      <c r="F367" s="20"/>
      <c r="G367" s="20"/>
      <c r="H367" s="20"/>
      <c r="I367" s="10"/>
      <c r="J367" s="10"/>
      <c r="K367" s="383"/>
      <c r="L367" s="474"/>
      <c r="M367" s="471"/>
      <c r="N367" s="405"/>
      <c r="O367" s="541"/>
      <c r="P367" s="405"/>
      <c r="Q367" s="405"/>
      <c r="S367" s="344" t="str">
        <f t="shared" ref="S367:S373" si="29">UPPER(D367)</f>
        <v/>
      </c>
    </row>
    <row r="368" spans="1:19" s="344" customFormat="1">
      <c r="A368" s="59">
        <v>3</v>
      </c>
      <c r="B368" s="29"/>
      <c r="C368" s="59"/>
      <c r="D368" s="396" t="s">
        <v>2067</v>
      </c>
      <c r="E368" s="18"/>
      <c r="F368" s="51"/>
      <c r="G368" s="20"/>
      <c r="H368" s="20"/>
      <c r="I368" s="10"/>
      <c r="J368" s="10"/>
      <c r="K368" s="383"/>
      <c r="L368" s="474"/>
      <c r="M368" s="471"/>
      <c r="N368" s="405"/>
      <c r="O368" s="541"/>
      <c r="P368" s="405"/>
      <c r="Q368" s="405"/>
      <c r="S368" s="344" t="str">
        <f t="shared" si="29"/>
        <v>PAREDES / PAINÉIS</v>
      </c>
    </row>
    <row r="369" spans="1:19" s="414" customFormat="1">
      <c r="A369" s="650" t="s">
        <v>144</v>
      </c>
      <c r="B369" s="425"/>
      <c r="C369" s="410"/>
      <c r="D369" s="420" t="s">
        <v>2068</v>
      </c>
      <c r="E369" s="421"/>
      <c r="F369" s="430"/>
      <c r="G369" s="659"/>
      <c r="H369" s="659"/>
      <c r="I369" s="413"/>
      <c r="J369" s="413"/>
      <c r="K369" s="498"/>
      <c r="L369" s="474"/>
      <c r="M369" s="471"/>
      <c r="N369" s="419"/>
      <c r="O369" s="541"/>
      <c r="P369" s="419"/>
      <c r="Q369" s="419"/>
      <c r="S369" s="414" t="str">
        <f t="shared" si="29"/>
        <v>ALVENARIA DE BLOCOS DE CONCRETO</v>
      </c>
    </row>
    <row r="370" spans="1:19" s="414" customFormat="1">
      <c r="A370" s="650" t="s">
        <v>143</v>
      </c>
      <c r="B370" s="611"/>
      <c r="C370" s="410"/>
      <c r="D370" s="420" t="s">
        <v>2069</v>
      </c>
      <c r="E370" s="421"/>
      <c r="F370" s="430"/>
      <c r="G370" s="659"/>
      <c r="H370" s="659"/>
      <c r="I370" s="413"/>
      <c r="J370" s="413"/>
      <c r="K370" s="498"/>
      <c r="L370" s="474"/>
      <c r="M370" s="471"/>
      <c r="N370" s="419"/>
      <c r="O370" s="541"/>
      <c r="P370" s="419"/>
      <c r="Q370" s="419"/>
      <c r="S370" s="414" t="str">
        <f t="shared" si="29"/>
        <v>ALVENARIA DE BLOCO DE CONCRETO</v>
      </c>
    </row>
    <row r="371" spans="1:19" s="344" customFormat="1" ht="38.25">
      <c r="A371" s="55" t="s">
        <v>343</v>
      </c>
      <c r="B371" s="49">
        <f>'[3]Plan Tron'!B76</f>
        <v>87451</v>
      </c>
      <c r="C371" s="49" t="str">
        <f>'[3]Plan Tron'!C76</f>
        <v>SINAPI</v>
      </c>
      <c r="D371" s="35" t="str">
        <f>'[3]Plan Tron'!D76</f>
        <v>ALVENARIA DE VEDAÇÃO DE BLOCOS VAZADOS DE CONCRETO DE 19X19X39CM (ESPESSURA 19CM) DE PAREDES COM ÁREA LÍQUIDA MENOR QUE 6M² SEM VÃOS E ARGAMASSA DE ASSENTAMENTO COM PREPARO EM BETONEIRA. AF_06/2014</v>
      </c>
      <c r="E371" s="672" t="str">
        <f>'[3]Plan Tron'!E76</f>
        <v>M²</v>
      </c>
      <c r="F371" s="51">
        <v>17.82</v>
      </c>
      <c r="G371" s="20">
        <v>65</v>
      </c>
      <c r="H371" s="20">
        <f>'[3]Plan Tron'!F76</f>
        <v>70.959999999999994</v>
      </c>
      <c r="I371" s="10">
        <v>26.44</v>
      </c>
      <c r="J371" s="10">
        <f>ROUND(H371*(I371/100+1),2)</f>
        <v>89.72</v>
      </c>
      <c r="K371" s="383">
        <v>0</v>
      </c>
      <c r="L371" s="474">
        <f>F371-K371</f>
        <v>17.82</v>
      </c>
      <c r="M371" s="471">
        <f t="shared" si="28"/>
        <v>1598.81</v>
      </c>
      <c r="N371" s="405"/>
      <c r="O371" s="541"/>
      <c r="P371" s="405"/>
      <c r="Q371" s="405"/>
      <c r="S371" s="344" t="str">
        <f t="shared" si="29"/>
        <v>ALVENARIA DE VEDAÇÃO DE BLOCOS VAZADOS DE CONCRETO DE 19X19X39CM (ESPESSURA 19CM) DE PAREDES COM ÁREA LÍQUIDA MENOR QUE 6M² SEM VÃOS E ARGAMASSA DE ASSENTAMENTO COM PREPARO EM BETONEIRA. AF_06/2014</v>
      </c>
    </row>
    <row r="372" spans="1:19" s="414" customFormat="1">
      <c r="A372" s="650" t="s">
        <v>142</v>
      </c>
      <c r="B372" s="425"/>
      <c r="C372" s="410"/>
      <c r="D372" s="420" t="s">
        <v>2104</v>
      </c>
      <c r="E372" s="421"/>
      <c r="F372" s="430"/>
      <c r="G372" s="659"/>
      <c r="H372" s="659"/>
      <c r="I372" s="413"/>
      <c r="J372" s="413"/>
      <c r="K372" s="498"/>
      <c r="L372" s="474"/>
      <c r="M372" s="471"/>
      <c r="N372" s="419"/>
      <c r="O372" s="541"/>
      <c r="P372" s="419"/>
      <c r="Q372" s="419"/>
      <c r="S372" s="414" t="str">
        <f t="shared" si="29"/>
        <v>ALVENARIA DE TIJOLOS CERÂMICOS</v>
      </c>
    </row>
    <row r="373" spans="1:19" s="344" customFormat="1" ht="25.5">
      <c r="A373" s="55" t="s">
        <v>141</v>
      </c>
      <c r="B373" s="49">
        <f>'[3]Plan Tron'!B84</f>
        <v>95474</v>
      </c>
      <c r="C373" s="49" t="str">
        <f>'[3]Plan Tron'!C84</f>
        <v>SINAPI</v>
      </c>
      <c r="D373" s="35" t="str">
        <f>'[3]Plan Tron'!D84</f>
        <v>ALVENARIA DE EMBASAMENTO EM TIJOLOS CERAMICOS MACICOS 5X10X20CM, ASSENTADO COM ARGAMASSA TRACO 1:2:8 (CIMENTO, CAL E AREIA)</v>
      </c>
      <c r="E373" s="672" t="str">
        <f>'[3]Plan Tron'!E84</f>
        <v>M³</v>
      </c>
      <c r="F373" s="51">
        <v>1.0900000000000001</v>
      </c>
      <c r="G373" s="20">
        <v>531.80999999999995</v>
      </c>
      <c r="H373" s="20">
        <f>'[3]Plan Tron'!F84</f>
        <v>566.95000000000005</v>
      </c>
      <c r="I373" s="10">
        <v>26.44</v>
      </c>
      <c r="J373" s="10">
        <f>ROUND(H373*(I373/100+1),2)</f>
        <v>716.85</v>
      </c>
      <c r="K373" s="383">
        <v>0</v>
      </c>
      <c r="L373" s="474">
        <f>F373-K373</f>
        <v>1.0900000000000001</v>
      </c>
      <c r="M373" s="471">
        <f t="shared" si="28"/>
        <v>781.37</v>
      </c>
      <c r="N373" s="405"/>
      <c r="O373" s="541"/>
      <c r="P373" s="405"/>
      <c r="Q373" s="405"/>
      <c r="S373" s="344" t="str">
        <f t="shared" si="29"/>
        <v>ALVENARIA DE EMBASAMENTO EM TIJOLOS CERAMICOS MACICOS 5X10X20CM, ASSENTADO COM ARGAMASSA TRACO 1:2:8 (CIMENTO, CAL E AREIA)</v>
      </c>
    </row>
    <row r="374" spans="1:19" s="344" customFormat="1">
      <c r="A374" s="55"/>
      <c r="B374" s="11"/>
      <c r="C374" s="49"/>
      <c r="D374" s="110"/>
      <c r="E374" s="18"/>
      <c r="F374" s="20"/>
      <c r="G374" s="20"/>
      <c r="H374" s="20"/>
      <c r="I374" s="10"/>
      <c r="J374" s="10"/>
      <c r="K374" s="110"/>
      <c r="L374" s="474"/>
      <c r="M374" s="471"/>
      <c r="N374" s="405"/>
      <c r="O374" s="541"/>
      <c r="P374" s="405"/>
      <c r="Q374" s="405"/>
    </row>
    <row r="375" spans="1:19" s="344" customFormat="1">
      <c r="A375" s="55"/>
      <c r="B375" s="37"/>
      <c r="C375" s="49"/>
      <c r="D375" s="35" t="s">
        <v>76</v>
      </c>
      <c r="E375" s="18"/>
      <c r="F375" s="51"/>
      <c r="G375" s="51"/>
      <c r="H375" s="51"/>
      <c r="I375" s="10"/>
      <c r="J375" s="10"/>
      <c r="K375" s="383"/>
      <c r="L375" s="474"/>
      <c r="M375" s="471"/>
      <c r="N375" s="405"/>
      <c r="O375" s="541"/>
      <c r="P375" s="405"/>
      <c r="Q375" s="405"/>
      <c r="S375" s="344" t="str">
        <f>UPPER(D375)</f>
        <v/>
      </c>
    </row>
    <row r="376" spans="1:19" s="344" customFormat="1">
      <c r="A376" s="45">
        <v>4</v>
      </c>
      <c r="B376" s="65"/>
      <c r="C376" s="45"/>
      <c r="D376" s="52" t="s">
        <v>2125</v>
      </c>
      <c r="E376" s="7"/>
      <c r="F376" s="10"/>
      <c r="G376" s="21"/>
      <c r="H376" s="21"/>
      <c r="I376" s="10"/>
      <c r="J376" s="10"/>
      <c r="K376" s="383"/>
      <c r="L376" s="474"/>
      <c r="M376" s="471"/>
      <c r="N376" s="405"/>
      <c r="O376" s="541"/>
      <c r="P376" s="405"/>
      <c r="Q376" s="405"/>
      <c r="S376" s="344" t="str">
        <f>UPPER(D376)</f>
        <v>COBERTURA</v>
      </c>
    </row>
    <row r="377" spans="1:19" s="414" customFormat="1">
      <c r="A377" s="410" t="s">
        <v>139</v>
      </c>
      <c r="B377" s="411"/>
      <c r="C377" s="410"/>
      <c r="D377" s="690" t="s">
        <v>2126</v>
      </c>
      <c r="E377" s="617"/>
      <c r="F377" s="422"/>
      <c r="G377" s="422"/>
      <c r="H377" s="422"/>
      <c r="I377" s="413"/>
      <c r="J377" s="413"/>
      <c r="K377" s="498"/>
      <c r="L377" s="474"/>
      <c r="M377" s="471"/>
      <c r="N377" s="419"/>
      <c r="O377" s="541"/>
      <c r="P377" s="419"/>
      <c r="Q377" s="419"/>
      <c r="S377" s="414" t="str">
        <f>UPPER(D377)</f>
        <v>TELHAMENTO COM TELHA DE FIBROCIMENTO</v>
      </c>
    </row>
    <row r="378" spans="1:19" s="344" customFormat="1" ht="25.5">
      <c r="A378" s="49" t="s">
        <v>138</v>
      </c>
      <c r="B378" s="49">
        <f>'[3]Plan Tron'!B85</f>
        <v>94218</v>
      </c>
      <c r="C378" s="49" t="str">
        <f>'[3]Plan Tron'!C85</f>
        <v>SINAPI</v>
      </c>
      <c r="D378" s="15" t="str">
        <f>'[3]Plan Tron'!D85</f>
        <v xml:space="preserve"> TELHAMENTO COM TELHA ESTRUTURAL DE FIBROCIMENTO E= 6 MM, COM ATÉ 2 ÁGUAS, INCLUSO IÇAMENTO. AF_06/2016</v>
      </c>
      <c r="E378" s="77" t="str">
        <f>'[3]Plan Tron'!E85</f>
        <v>M²</v>
      </c>
      <c r="F378" s="21">
        <f>ROUND(14.55*8.1,2)</f>
        <v>117.86</v>
      </c>
      <c r="G378" s="21">
        <v>73.97</v>
      </c>
      <c r="H378" s="21">
        <f>'[3]Plan Tron'!F85</f>
        <v>84.16</v>
      </c>
      <c r="I378" s="10">
        <v>26.44</v>
      </c>
      <c r="J378" s="10">
        <f>ROUND(H378*(I378/100+1),2)</f>
        <v>106.41</v>
      </c>
      <c r="K378" s="383">
        <v>0</v>
      </c>
      <c r="L378" s="474">
        <f>F378-K378</f>
        <v>117.86</v>
      </c>
      <c r="M378" s="471">
        <f t="shared" si="28"/>
        <v>12541.48</v>
      </c>
      <c r="N378" s="405"/>
      <c r="O378" s="541"/>
      <c r="P378" s="405"/>
      <c r="Q378" s="405"/>
      <c r="S378" s="344" t="str">
        <f>UPPER(D378)</f>
        <v xml:space="preserve"> TELHAMENTO COM TELHA ESTRUTURAL DE FIBROCIMENTO E= 6 MM, COM ATÉ 2 ÁGUAS, INCLUSO IÇAMENTO. AF_06/2016</v>
      </c>
    </row>
    <row r="379" spans="1:19" s="344" customFormat="1" ht="25.5">
      <c r="A379" s="49" t="s">
        <v>437</v>
      </c>
      <c r="B379" s="332">
        <f>'[3]Plan Tron'!B155</f>
        <v>6111</v>
      </c>
      <c r="C379" s="332" t="str">
        <f>'[3]Plan Tron'!C155</f>
        <v>SINAPI (INSUMO)</v>
      </c>
      <c r="D379" s="614" t="str">
        <f>'[3]Plan Tron'!D155</f>
        <v xml:space="preserve">SERVENTE </v>
      </c>
      <c r="E379" s="332" t="str">
        <f>'[3]Plan Tron'!E155</f>
        <v>H</v>
      </c>
      <c r="F379" s="21">
        <f>3*5*8</f>
        <v>120</v>
      </c>
      <c r="G379" s="10">
        <v>9.84</v>
      </c>
      <c r="H379" s="10">
        <f>'[3]Plan Tron'!F155</f>
        <v>12.02</v>
      </c>
      <c r="I379" s="10">
        <v>26.44</v>
      </c>
      <c r="J379" s="10">
        <f>ROUND(H379*(I379/100+1),2)</f>
        <v>15.2</v>
      </c>
      <c r="K379" s="383">
        <v>0</v>
      </c>
      <c r="L379" s="474">
        <f>F379-K379</f>
        <v>120</v>
      </c>
      <c r="M379" s="471">
        <f t="shared" si="28"/>
        <v>1824</v>
      </c>
      <c r="N379" s="405"/>
      <c r="O379" s="541"/>
      <c r="P379" s="405"/>
      <c r="Q379" s="405"/>
      <c r="S379" s="344" t="str">
        <f>UPPER(D379)</f>
        <v xml:space="preserve">SERVENTE </v>
      </c>
    </row>
    <row r="380" spans="1:19" s="344" customFormat="1">
      <c r="A380" s="55"/>
      <c r="B380" s="29"/>
      <c r="C380" s="29"/>
      <c r="D380" s="110"/>
      <c r="E380" s="18"/>
      <c r="F380" s="20"/>
      <c r="G380" s="20"/>
      <c r="H380" s="20"/>
      <c r="I380" s="10"/>
      <c r="J380" s="10"/>
      <c r="K380" s="110"/>
      <c r="L380" s="474"/>
      <c r="M380" s="471"/>
      <c r="N380" s="405"/>
      <c r="O380" s="541"/>
      <c r="P380" s="405"/>
      <c r="Q380" s="405"/>
    </row>
    <row r="381" spans="1:19" s="344" customFormat="1">
      <c r="A381" s="55"/>
      <c r="B381" s="29"/>
      <c r="C381" s="29"/>
      <c r="D381" s="35" t="s">
        <v>76</v>
      </c>
      <c r="E381" s="18"/>
      <c r="F381" s="51"/>
      <c r="G381" s="51"/>
      <c r="H381" s="51"/>
      <c r="I381" s="10"/>
      <c r="J381" s="10"/>
      <c r="K381" s="383"/>
      <c r="L381" s="474"/>
      <c r="M381" s="471"/>
      <c r="N381" s="405"/>
      <c r="O381" s="541"/>
      <c r="P381" s="405"/>
      <c r="Q381" s="405"/>
      <c r="S381" s="344" t="str">
        <f>UPPER(D381)</f>
        <v/>
      </c>
    </row>
    <row r="382" spans="1:19" s="344" customFormat="1">
      <c r="A382" s="59">
        <v>5</v>
      </c>
      <c r="B382" s="22"/>
      <c r="C382" s="22"/>
      <c r="D382" s="396" t="s">
        <v>2070</v>
      </c>
      <c r="E382" s="18"/>
      <c r="F382" s="51"/>
      <c r="G382" s="20"/>
      <c r="H382" s="20"/>
      <c r="I382" s="10"/>
      <c r="J382" s="10"/>
      <c r="K382" s="383"/>
      <c r="L382" s="474"/>
      <c r="M382" s="471"/>
      <c r="N382" s="405"/>
      <c r="O382" s="541"/>
      <c r="P382" s="405"/>
      <c r="Q382" s="405"/>
      <c r="S382" s="344" t="str">
        <f>UPPER(D382)</f>
        <v>ESQUADRIAS / FERRAGENS / VIDROS</v>
      </c>
    </row>
    <row r="383" spans="1:19" s="414" customFormat="1">
      <c r="A383" s="650" t="s">
        <v>136</v>
      </c>
      <c r="B383" s="425"/>
      <c r="C383" s="410"/>
      <c r="D383" s="420" t="s">
        <v>2127</v>
      </c>
      <c r="E383" s="421"/>
      <c r="F383" s="430"/>
      <c r="G383" s="659"/>
      <c r="H383" s="659"/>
      <c r="I383" s="413"/>
      <c r="J383" s="413"/>
      <c r="K383" s="498"/>
      <c r="L383" s="474"/>
      <c r="M383" s="471"/>
      <c r="N383" s="419"/>
      <c r="O383" s="541"/>
      <c r="P383" s="419"/>
      <c r="Q383" s="419"/>
      <c r="S383" s="414" t="str">
        <f>UPPER(D383)</f>
        <v>PORTA E/OU TAMPA DE ALUMÍNIO</v>
      </c>
    </row>
    <row r="384" spans="1:19" s="414" customFormat="1">
      <c r="A384" s="650" t="s">
        <v>135</v>
      </c>
      <c r="B384" s="425"/>
      <c r="C384" s="410"/>
      <c r="D384" s="420" t="s">
        <v>2128</v>
      </c>
      <c r="E384" s="421"/>
      <c r="F384" s="430"/>
      <c r="G384" s="659"/>
      <c r="H384" s="659"/>
      <c r="I384" s="413"/>
      <c r="J384" s="413"/>
      <c r="K384" s="498"/>
      <c r="L384" s="474"/>
      <c r="M384" s="471"/>
      <c r="N384" s="419"/>
      <c r="O384" s="541"/>
      <c r="P384" s="419"/>
      <c r="Q384" s="419"/>
      <c r="S384" s="414" t="str">
        <f>UPPER(D384)</f>
        <v>PORTA DE ALUMÍNIO DE ABRIR</v>
      </c>
    </row>
    <row r="385" spans="1:19" s="344" customFormat="1">
      <c r="A385" s="55" t="s">
        <v>134</v>
      </c>
      <c r="B385" s="49">
        <f>'[3]Plan Tron'!B92</f>
        <v>250202</v>
      </c>
      <c r="C385" s="49" t="str">
        <f>'[3]Plan Tron'!C92</f>
        <v>CPOS</v>
      </c>
      <c r="D385" s="35" t="str">
        <f>UPPER('[3]Plan Tron'!D92)</f>
        <v xml:space="preserve">PORTA DE ENTRADA DE ABRIR EM ALUMÍNIO, SOB MEDIDA </v>
      </c>
      <c r="E385" s="672" t="str">
        <f>'[3]Plan Tron'!E92</f>
        <v>M²</v>
      </c>
      <c r="F385" s="51">
        <v>2.1</v>
      </c>
      <c r="G385" s="20">
        <v>469.37</v>
      </c>
      <c r="H385" s="20">
        <f>'[3]Plan Tron'!F92</f>
        <v>706.6</v>
      </c>
      <c r="I385" s="10">
        <v>26.44</v>
      </c>
      <c r="J385" s="10">
        <f>ROUND(H385*(I385/100+1),2)</f>
        <v>893.43</v>
      </c>
      <c r="K385" s="383">
        <v>0</v>
      </c>
      <c r="L385" s="474">
        <f>F385-K385</f>
        <v>2.1</v>
      </c>
      <c r="M385" s="471">
        <f t="shared" si="28"/>
        <v>1876.2</v>
      </c>
      <c r="N385" s="405"/>
      <c r="O385" s="541"/>
      <c r="P385" s="405"/>
      <c r="Q385" s="405"/>
      <c r="S385" s="344" t="str">
        <f>UPPER(D385)</f>
        <v xml:space="preserve">PORTA DE ENTRADA DE ABRIR EM ALUMÍNIO, SOB MEDIDA </v>
      </c>
    </row>
    <row r="386" spans="1:19" s="344" customFormat="1">
      <c r="A386" s="55"/>
      <c r="B386" s="79"/>
      <c r="C386" s="29"/>
      <c r="D386" s="110"/>
      <c r="E386" s="18"/>
      <c r="F386" s="20"/>
      <c r="G386" s="20"/>
      <c r="H386" s="20"/>
      <c r="I386" s="10"/>
      <c r="J386" s="10"/>
      <c r="K386" s="110"/>
      <c r="L386" s="474"/>
      <c r="M386" s="471"/>
      <c r="N386" s="405"/>
      <c r="O386" s="541"/>
      <c r="P386" s="405"/>
      <c r="Q386" s="405"/>
    </row>
    <row r="387" spans="1:19" s="344" customFormat="1">
      <c r="A387" s="55"/>
      <c r="B387" s="339"/>
      <c r="C387" s="29"/>
      <c r="D387" s="35" t="s">
        <v>76</v>
      </c>
      <c r="E387" s="18"/>
      <c r="F387" s="51"/>
      <c r="G387" s="51"/>
      <c r="H387" s="51"/>
      <c r="I387" s="10"/>
      <c r="J387" s="10"/>
      <c r="K387" s="383"/>
      <c r="L387" s="474"/>
      <c r="M387" s="471"/>
      <c r="N387" s="405"/>
      <c r="O387" s="541"/>
      <c r="P387" s="405"/>
      <c r="Q387" s="405"/>
      <c r="S387" s="344" t="str">
        <f t="shared" ref="S387:S397" si="30">UPPER(D387)</f>
        <v/>
      </c>
    </row>
    <row r="388" spans="1:19" s="344" customFormat="1">
      <c r="A388" s="59">
        <v>6</v>
      </c>
      <c r="B388" s="339"/>
      <c r="C388" s="29"/>
      <c r="D388" s="396" t="s">
        <v>2073</v>
      </c>
      <c r="E388" s="18"/>
      <c r="F388" s="20"/>
      <c r="G388" s="20"/>
      <c r="H388" s="20"/>
      <c r="I388" s="10"/>
      <c r="J388" s="10"/>
      <c r="K388" s="383"/>
      <c r="L388" s="474"/>
      <c r="M388" s="471"/>
      <c r="N388" s="405"/>
      <c r="O388" s="541"/>
      <c r="P388" s="405"/>
      <c r="Q388" s="405"/>
      <c r="S388" s="344" t="str">
        <f t="shared" si="30"/>
        <v>IMPERMEABILIZAÇÕES E PROTEÇÕES DIVERSAS</v>
      </c>
    </row>
    <row r="389" spans="1:19" s="414" customFormat="1" hidden="1">
      <c r="A389" s="650" t="s">
        <v>120</v>
      </c>
      <c r="B389" s="425"/>
      <c r="C389" s="410"/>
      <c r="D389" s="420" t="s">
        <v>2129</v>
      </c>
      <c r="E389" s="421"/>
      <c r="F389" s="430"/>
      <c r="G389" s="659"/>
      <c r="H389" s="659"/>
      <c r="I389" s="413"/>
      <c r="J389" s="413"/>
      <c r="K389" s="498"/>
      <c r="L389" s="474"/>
      <c r="M389" s="471"/>
      <c r="N389" s="419"/>
      <c r="O389" s="541"/>
      <c r="P389" s="419"/>
      <c r="Q389" s="419"/>
      <c r="S389" s="414" t="str">
        <f t="shared" si="30"/>
        <v>IMPERMEABILIZAÇÃO COM MANTA</v>
      </c>
    </row>
    <row r="390" spans="1:19" s="414" customFormat="1" hidden="1">
      <c r="A390" s="650" t="s">
        <v>119</v>
      </c>
      <c r="B390" s="425"/>
      <c r="C390" s="410"/>
      <c r="D390" s="706" t="s">
        <v>2130</v>
      </c>
      <c r="E390" s="640"/>
      <c r="F390" s="430"/>
      <c r="G390" s="659"/>
      <c r="H390" s="659"/>
      <c r="I390" s="413"/>
      <c r="J390" s="413"/>
      <c r="K390" s="498"/>
      <c r="L390" s="474"/>
      <c r="M390" s="471"/>
      <c r="N390" s="419"/>
      <c r="O390" s="541"/>
      <c r="P390" s="419"/>
      <c r="Q390" s="419"/>
      <c r="S390" s="414" t="str">
        <f t="shared" si="30"/>
        <v>IMPERMEABILIZAÇÃO DE TERRAÇOS E LAJES</v>
      </c>
    </row>
    <row r="391" spans="1:19" s="344" customFormat="1" hidden="1">
      <c r="A391" s="55" t="s">
        <v>118</v>
      </c>
      <c r="B391" s="49" t="str">
        <f>'[3]Plan Tron'!B71</f>
        <v>74106/001</v>
      </c>
      <c r="C391" s="49" t="str">
        <f>'[3]Plan Tron'!C71</f>
        <v>SINAPI</v>
      </c>
      <c r="D391" s="612" t="str">
        <f>'[3]Plan Tron'!D71</f>
        <v>IMPERMEABILIZACAO DE ESTRUTURAS ENTERRADAS,COM TINTA ASFALTICA, DUAS DEMÃOS.</v>
      </c>
      <c r="E391" s="49" t="str">
        <f>'[3]Plan Tron'!E71</f>
        <v>M²</v>
      </c>
      <c r="F391" s="51">
        <v>395.21</v>
      </c>
      <c r="G391" s="20">
        <v>17.059999999999999</v>
      </c>
      <c r="H391" s="20">
        <f>'[3]Plan Tron'!F71</f>
        <v>9.2899999999999991</v>
      </c>
      <c r="I391" s="10">
        <v>26.44</v>
      </c>
      <c r="J391" s="10">
        <f>ROUND(H391*(I391/100+1),2)</f>
        <v>11.75</v>
      </c>
      <c r="K391" s="383">
        <v>395.21</v>
      </c>
      <c r="L391" s="474">
        <f>F391-K391</f>
        <v>0</v>
      </c>
      <c r="M391" s="471">
        <f t="shared" si="28"/>
        <v>0</v>
      </c>
      <c r="N391" s="405"/>
      <c r="O391" s="541"/>
      <c r="P391" s="405"/>
      <c r="Q391" s="405"/>
      <c r="S391" s="344" t="str">
        <f t="shared" si="30"/>
        <v>IMPERMEABILIZACAO DE ESTRUTURAS ENTERRADAS,COM TINTA ASFALTICA, DUAS DEMÃOS.</v>
      </c>
    </row>
    <row r="392" spans="1:19" s="414" customFormat="1">
      <c r="A392" s="650" t="s">
        <v>116</v>
      </c>
      <c r="B392" s="425"/>
      <c r="C392" s="410"/>
      <c r="D392" s="420" t="s">
        <v>2074</v>
      </c>
      <c r="E392" s="421"/>
      <c r="F392" s="659"/>
      <c r="G392" s="659"/>
      <c r="H392" s="659"/>
      <c r="I392" s="413"/>
      <c r="J392" s="413"/>
      <c r="K392" s="498"/>
      <c r="L392" s="474"/>
      <c r="M392" s="471"/>
      <c r="N392" s="419"/>
      <c r="O392" s="541"/>
      <c r="P392" s="419"/>
      <c r="Q392" s="419"/>
      <c r="S392" s="414" t="str">
        <f t="shared" si="30"/>
        <v>IMPERMEABILIZAÇÃO COM CIMENTO CRISTALIZADO</v>
      </c>
    </row>
    <row r="393" spans="1:19" s="414" customFormat="1" ht="25.5">
      <c r="A393" s="650" t="s">
        <v>115</v>
      </c>
      <c r="B393" s="425"/>
      <c r="C393" s="410"/>
      <c r="D393" s="420" t="s">
        <v>2075</v>
      </c>
      <c r="E393" s="421"/>
      <c r="F393" s="659"/>
      <c r="G393" s="659"/>
      <c r="H393" s="659"/>
      <c r="I393" s="413"/>
      <c r="J393" s="413"/>
      <c r="K393" s="498"/>
      <c r="L393" s="474"/>
      <c r="M393" s="471"/>
      <c r="N393" s="419"/>
      <c r="O393" s="541"/>
      <c r="P393" s="419"/>
      <c r="Q393" s="419"/>
      <c r="S393" s="414" t="str">
        <f t="shared" si="30"/>
        <v>CIMENTO ESPECIAL CRISTALIZANTE DENVERLIT C/ EMULSÃO ADESIVA DENVERFIX - DENVER - 1 DEMÃO P/ SUBSOLO / BALDRAMES / GALERIAS / JARDINEIRAS / ETC.</v>
      </c>
    </row>
    <row r="394" spans="1:19" s="344" customFormat="1">
      <c r="A394" s="55" t="s">
        <v>114</v>
      </c>
      <c r="B394" s="49" t="str">
        <f>'[3]Plan Tron'!B33</f>
        <v>73929/001</v>
      </c>
      <c r="C394" s="49" t="str">
        <f>'[3]Plan Tron'!C33</f>
        <v>SINAPI</v>
      </c>
      <c r="D394" s="612" t="str">
        <f>'[3]Plan Tron'!D33</f>
        <v>IMPERMEABILIZACAO DE SUPERFICIE COM CIMENTO ESPECIAL CRISTALIZANTE COM ADESIVO LIQUIDO, UMA DEMAO.</v>
      </c>
      <c r="E394" s="49" t="str">
        <f>'[3]Plan Tron'!E33</f>
        <v>M²</v>
      </c>
      <c r="F394" s="20">
        <v>10808.27</v>
      </c>
      <c r="G394" s="20">
        <v>18.329999999999998</v>
      </c>
      <c r="H394" s="20">
        <f>'[3]Plan Tron'!F33</f>
        <v>30.96</v>
      </c>
      <c r="I394" s="10">
        <v>26.44</v>
      </c>
      <c r="J394" s="10">
        <f>ROUND(H394*(I394/100+1),2)</f>
        <v>39.15</v>
      </c>
      <c r="K394" s="383">
        <v>0</v>
      </c>
      <c r="L394" s="474">
        <f>F394-K394</f>
        <v>10808.27</v>
      </c>
      <c r="M394" s="471">
        <f t="shared" si="28"/>
        <v>423143.77</v>
      </c>
      <c r="N394" s="405"/>
      <c r="O394" s="541"/>
      <c r="P394" s="405"/>
      <c r="Q394" s="405"/>
      <c r="S394" s="344" t="str">
        <f t="shared" si="30"/>
        <v>IMPERMEABILIZACAO DE SUPERFICIE COM CIMENTO ESPECIAL CRISTALIZANTE COM ADESIVO LIQUIDO, UMA DEMAO.</v>
      </c>
    </row>
    <row r="395" spans="1:19" s="414" customFormat="1">
      <c r="A395" s="650" t="s">
        <v>113</v>
      </c>
      <c r="B395" s="425"/>
      <c r="C395" s="410"/>
      <c r="D395" s="420" t="s">
        <v>2131</v>
      </c>
      <c r="E395" s="421"/>
      <c r="F395" s="659"/>
      <c r="G395" s="659"/>
      <c r="H395" s="659"/>
      <c r="I395" s="413"/>
      <c r="J395" s="413"/>
      <c r="K395" s="498"/>
      <c r="L395" s="474"/>
      <c r="M395" s="471"/>
      <c r="N395" s="419"/>
      <c r="O395" s="541"/>
      <c r="P395" s="419"/>
      <c r="Q395" s="419"/>
      <c r="S395" s="414" t="str">
        <f t="shared" si="30"/>
        <v>IMPERMEABILIZAÇÃO BETUMINOSA C/ EMULSÃO ASFÁLTICA E ACRÍLICA.</v>
      </c>
    </row>
    <row r="396" spans="1:19" s="414" customFormat="1" ht="25.5">
      <c r="A396" s="650" t="s">
        <v>112</v>
      </c>
      <c r="B396" s="425"/>
      <c r="C396" s="410"/>
      <c r="D396" s="420" t="s">
        <v>2132</v>
      </c>
      <c r="E396" s="421"/>
      <c r="F396" s="659"/>
      <c r="G396" s="659"/>
      <c r="H396" s="659"/>
      <c r="I396" s="413"/>
      <c r="J396" s="413"/>
      <c r="K396" s="498"/>
      <c r="L396" s="474"/>
      <c r="M396" s="471"/>
      <c r="N396" s="419"/>
      <c r="O396" s="541"/>
      <c r="P396" s="419"/>
      <c r="Q396" s="419"/>
      <c r="S396" s="414" t="str">
        <f t="shared" si="30"/>
        <v>IMPERMEABILIZAÇÃO DE FUNDAÇÕES / BALDRAMES / MUROS DE ARRIMO / ALICERCES / REVESTIMENTOS EM CONTATO C/ SOLO - UTILIZAÇÃO DE TINTA BETUMINOSA TIPO NEUTROLIN / DUAS DEMÃOS.</v>
      </c>
    </row>
    <row r="397" spans="1:19" s="344" customFormat="1">
      <c r="A397" s="55" t="s">
        <v>111</v>
      </c>
      <c r="B397" s="49" t="str">
        <f>B391</f>
        <v>74106/001</v>
      </c>
      <c r="C397" s="49" t="str">
        <f>C391</f>
        <v>SINAPI</v>
      </c>
      <c r="D397" s="745" t="str">
        <f>D391</f>
        <v>IMPERMEABILIZACAO DE ESTRUTURAS ENTERRADAS,COM TINTA ASFALTICA, DUAS DEMÃOS.</v>
      </c>
      <c r="E397" s="55" t="str">
        <f>E391</f>
        <v>M²</v>
      </c>
      <c r="F397" s="20">
        <v>385.39</v>
      </c>
      <c r="G397" s="20">
        <v>6.65</v>
      </c>
      <c r="H397" s="20">
        <f>H391</f>
        <v>9.2899999999999991</v>
      </c>
      <c r="I397" s="10">
        <v>26.44</v>
      </c>
      <c r="J397" s="10">
        <f>ROUND(H397*(I397/100+1),2)</f>
        <v>11.75</v>
      </c>
      <c r="K397" s="383">
        <v>0</v>
      </c>
      <c r="L397" s="474">
        <f>F397-K397</f>
        <v>385.39</v>
      </c>
      <c r="M397" s="471">
        <f t="shared" si="28"/>
        <v>4528.33</v>
      </c>
      <c r="N397" s="405"/>
      <c r="O397" s="541"/>
      <c r="P397" s="405"/>
      <c r="Q397" s="405"/>
      <c r="S397" s="344" t="str">
        <f t="shared" si="30"/>
        <v>IMPERMEABILIZACAO DE ESTRUTURAS ENTERRADAS,COM TINTA ASFALTICA, DUAS DEMÃOS.</v>
      </c>
    </row>
    <row r="398" spans="1:19">
      <c r="A398" s="55"/>
      <c r="B398" s="44"/>
      <c r="C398" s="29"/>
      <c r="D398" s="110"/>
      <c r="E398" s="18"/>
      <c r="F398" s="20"/>
      <c r="G398" s="316"/>
      <c r="H398" s="20"/>
      <c r="I398" s="10"/>
      <c r="J398" s="10"/>
      <c r="K398" s="110"/>
      <c r="L398" s="474"/>
      <c r="M398" s="471"/>
      <c r="N398" s="405"/>
      <c r="O398" s="541"/>
      <c r="P398" s="405"/>
      <c r="Q398" s="405"/>
    </row>
    <row r="399" spans="1:19">
      <c r="A399" s="55"/>
      <c r="B399" s="44"/>
      <c r="C399" s="29"/>
      <c r="D399" s="396" t="s">
        <v>76</v>
      </c>
      <c r="E399" s="18"/>
      <c r="F399" s="20"/>
      <c r="G399" s="316"/>
      <c r="H399" s="20"/>
      <c r="I399" s="10"/>
      <c r="J399" s="10"/>
      <c r="K399" s="383"/>
      <c r="L399" s="474"/>
      <c r="M399" s="471"/>
      <c r="N399" s="405"/>
      <c r="O399" s="541"/>
      <c r="P399" s="405"/>
      <c r="Q399" s="405"/>
      <c r="S399" s="344" t="str">
        <f t="shared" ref="S399:S415" si="31">UPPER(D399)</f>
        <v/>
      </c>
    </row>
    <row r="400" spans="1:19" s="344" customFormat="1">
      <c r="A400" s="59">
        <v>7</v>
      </c>
      <c r="B400" s="339"/>
      <c r="C400" s="29"/>
      <c r="D400" s="396" t="s">
        <v>2133</v>
      </c>
      <c r="E400" s="18"/>
      <c r="F400" s="20"/>
      <c r="G400" s="20"/>
      <c r="H400" s="20"/>
      <c r="I400" s="10"/>
      <c r="J400" s="10"/>
      <c r="K400" s="383"/>
      <c r="L400" s="474"/>
      <c r="M400" s="471"/>
      <c r="N400" s="405"/>
      <c r="O400" s="541"/>
      <c r="P400" s="405"/>
      <c r="Q400" s="405"/>
      <c r="S400" s="344" t="str">
        <f t="shared" si="31"/>
        <v>INSTALAÇÕES DE PRODUÇÃO</v>
      </c>
    </row>
    <row r="401" spans="1:19" s="414" customFormat="1">
      <c r="A401" s="650" t="s">
        <v>109</v>
      </c>
      <c r="B401" s="418"/>
      <c r="C401" s="425"/>
      <c r="D401" s="420" t="s">
        <v>2134</v>
      </c>
      <c r="E401" s="421"/>
      <c r="F401" s="430"/>
      <c r="G401" s="659"/>
      <c r="H401" s="659"/>
      <c r="I401" s="413"/>
      <c r="J401" s="413"/>
      <c r="K401" s="498"/>
      <c r="L401" s="474"/>
      <c r="M401" s="471"/>
      <c r="N401" s="419"/>
      <c r="O401" s="541"/>
      <c r="P401" s="419"/>
      <c r="Q401" s="419"/>
      <c r="S401" s="414" t="str">
        <f t="shared" si="31"/>
        <v>FORNECIMENTO DE MATERIAIS PARA LEITO FILTRANTE</v>
      </c>
    </row>
    <row r="402" spans="1:19" s="389" customFormat="1" ht="25.5">
      <c r="A402" s="342" t="s">
        <v>108</v>
      </c>
      <c r="B402" s="332">
        <f>'[3]Plan Tron'!B93</f>
        <v>11075</v>
      </c>
      <c r="C402" s="332" t="str">
        <f>'[3]Plan Tron'!C93</f>
        <v>SINAPI (INSUMO)</v>
      </c>
      <c r="D402" s="612" t="str">
        <f>'[3]Plan Tron'!D93</f>
        <v>AREIA PARA LEITO FILTRANTE (0,42 A 1,68 MM) - POSTO JAZIDA/FORNECEDOR (RETIRADO NA JAZIDA, SEM TRANSPORTE)</v>
      </c>
      <c r="E402" s="612" t="str">
        <f>'[3]Plan Tron'!E93</f>
        <v>M³</v>
      </c>
      <c r="F402" s="343">
        <v>29.4</v>
      </c>
      <c r="G402" s="352">
        <f>ROUND(544,2)</f>
        <v>544</v>
      </c>
      <c r="H402" s="352">
        <f>'[3]Plan Tron'!F93</f>
        <v>994.78</v>
      </c>
      <c r="I402" s="11">
        <v>26.44</v>
      </c>
      <c r="J402" s="10">
        <f>ROUND(H402*(I402/100+1),2)</f>
        <v>1257.8</v>
      </c>
      <c r="K402" s="383">
        <v>0</v>
      </c>
      <c r="L402" s="474">
        <f t="shared" ref="L402:L410" si="32">F402-K402</f>
        <v>29.4</v>
      </c>
      <c r="M402" s="471">
        <f t="shared" si="28"/>
        <v>36979.32</v>
      </c>
      <c r="N402" s="405"/>
      <c r="O402" s="541"/>
      <c r="P402" s="405"/>
      <c r="Q402" s="405"/>
      <c r="S402" s="344" t="str">
        <f t="shared" si="31"/>
        <v>AREIA PARA LEITO FILTRANTE (0,42 A 1,68 MM) - POSTO JAZIDA/FORNECEDOR (RETIRADO NA JAZIDA, SEM TRANSPORTE)</v>
      </c>
    </row>
    <row r="403" spans="1:19" s="389" customFormat="1" ht="25.5">
      <c r="A403" s="342" t="s">
        <v>436</v>
      </c>
      <c r="B403" s="332">
        <f>'[3]Plan Tron'!B95</f>
        <v>11079</v>
      </c>
      <c r="C403" s="332" t="str">
        <f>'[3]Plan Tron'!C95</f>
        <v>SINAPI (INSUMO)</v>
      </c>
      <c r="D403" s="739" t="s">
        <v>2135</v>
      </c>
      <c r="E403" s="342" t="s">
        <v>2335</v>
      </c>
      <c r="F403" s="343">
        <v>4.29</v>
      </c>
      <c r="G403" s="29">
        <v>559.39</v>
      </c>
      <c r="H403" s="352">
        <f>'[3]Plan Tron'!F95</f>
        <v>602.34</v>
      </c>
      <c r="I403" s="11">
        <v>26.44</v>
      </c>
      <c r="J403" s="10">
        <f>ROUND(H403*(I403/100+1),2)</f>
        <v>761.6</v>
      </c>
      <c r="K403" s="383">
        <v>0</v>
      </c>
      <c r="L403" s="474">
        <f t="shared" si="32"/>
        <v>4.29</v>
      </c>
      <c r="M403" s="471">
        <f t="shared" si="28"/>
        <v>3267.26</v>
      </c>
      <c r="N403" s="405"/>
      <c r="O403" s="541"/>
      <c r="P403" s="405"/>
      <c r="Q403" s="405"/>
      <c r="S403" s="344" t="str">
        <f t="shared" si="31"/>
        <v>MATERIAL FILTRANTE (PEDREGULHO) 2,4 A 0,6MM- POSTO JAZIDA / FORNECEDOR (SEM FRETE).</v>
      </c>
    </row>
    <row r="404" spans="1:19" s="389" customFormat="1" ht="25.5">
      <c r="A404" s="342" t="s">
        <v>435</v>
      </c>
      <c r="B404" s="332">
        <f>'[3]Plan Tron'!B95</f>
        <v>11079</v>
      </c>
      <c r="C404" s="332" t="s">
        <v>2016</v>
      </c>
      <c r="D404" s="739" t="s">
        <v>2136</v>
      </c>
      <c r="E404" s="342" t="s">
        <v>2335</v>
      </c>
      <c r="F404" s="343">
        <v>4.29</v>
      </c>
      <c r="G404" s="29">
        <v>559.39</v>
      </c>
      <c r="H404" s="352">
        <f>H403</f>
        <v>602.34</v>
      </c>
      <c r="I404" s="11">
        <v>26.44</v>
      </c>
      <c r="J404" s="10">
        <f t="shared" ref="J404:J409" si="33">ROUND(H404*(I404/100+1),2)</f>
        <v>761.6</v>
      </c>
      <c r="K404" s="383">
        <v>0</v>
      </c>
      <c r="L404" s="474">
        <f t="shared" si="32"/>
        <v>4.29</v>
      </c>
      <c r="M404" s="471">
        <f t="shared" si="28"/>
        <v>3267.26</v>
      </c>
      <c r="N404" s="405"/>
      <c r="O404" s="541"/>
      <c r="P404" s="405"/>
      <c r="Q404" s="405"/>
      <c r="S404" s="344" t="str">
        <f t="shared" si="31"/>
        <v>MATERIAL FILTRANTE (PEDREGULHO) 4,8 A 2,4MM- POSTO JAZIDA / FORNECEDOR (SEM FRETE).</v>
      </c>
    </row>
    <row r="405" spans="1:19" s="389" customFormat="1" ht="25.5">
      <c r="A405" s="342" t="s">
        <v>434</v>
      </c>
      <c r="B405" s="332">
        <f>'[3]Plan Tron'!B95</f>
        <v>11079</v>
      </c>
      <c r="C405" s="332" t="str">
        <f>'[3]Plan Tron'!C95</f>
        <v>SINAPI (INSUMO)</v>
      </c>
      <c r="D405" s="739" t="s">
        <v>2137</v>
      </c>
      <c r="E405" s="342" t="s">
        <v>2335</v>
      </c>
      <c r="F405" s="343">
        <v>4.29</v>
      </c>
      <c r="G405" s="29">
        <v>583.03</v>
      </c>
      <c r="H405" s="352">
        <f>H404</f>
        <v>602.34</v>
      </c>
      <c r="I405" s="11">
        <v>26.44</v>
      </c>
      <c r="J405" s="10">
        <f t="shared" si="33"/>
        <v>761.6</v>
      </c>
      <c r="K405" s="383">
        <v>0</v>
      </c>
      <c r="L405" s="474">
        <f t="shared" si="32"/>
        <v>4.29</v>
      </c>
      <c r="M405" s="471">
        <f t="shared" ref="M405:M428" si="34">ROUND(L405*J405,2)</f>
        <v>3267.26</v>
      </c>
      <c r="N405" s="405"/>
      <c r="O405" s="541"/>
      <c r="P405" s="405"/>
      <c r="Q405" s="405"/>
      <c r="S405" s="344" t="str">
        <f t="shared" si="31"/>
        <v>MATERIAL FILTRANTE (PEDREGULHO) 9,6 A 4,8MM- POSTO JAZIDA / FORNECEDOR (SEM FRETE).</v>
      </c>
    </row>
    <row r="406" spans="1:19" s="389" customFormat="1" ht="25.5">
      <c r="A406" s="342" t="s">
        <v>433</v>
      </c>
      <c r="B406" s="332">
        <f>B405</f>
        <v>11079</v>
      </c>
      <c r="C406" s="332" t="str">
        <f>C405</f>
        <v>SINAPI (INSUMO)</v>
      </c>
      <c r="D406" s="739" t="s">
        <v>2138</v>
      </c>
      <c r="E406" s="342" t="s">
        <v>2335</v>
      </c>
      <c r="F406" s="343">
        <v>4.29</v>
      </c>
      <c r="G406" s="29">
        <v>583.03</v>
      </c>
      <c r="H406" s="352">
        <f>H405</f>
        <v>602.34</v>
      </c>
      <c r="I406" s="11">
        <v>26.44</v>
      </c>
      <c r="J406" s="10">
        <f t="shared" si="33"/>
        <v>761.6</v>
      </c>
      <c r="K406" s="383">
        <v>0</v>
      </c>
      <c r="L406" s="474">
        <f t="shared" si="32"/>
        <v>4.29</v>
      </c>
      <c r="M406" s="471">
        <f t="shared" si="34"/>
        <v>3267.26</v>
      </c>
      <c r="N406" s="405"/>
      <c r="O406" s="541"/>
      <c r="P406" s="405"/>
      <c r="Q406" s="405"/>
      <c r="S406" s="344" t="str">
        <f t="shared" si="31"/>
        <v>MATERIAL FILTRANTE (PEDREGULHO) 15,4 A 9,6MM- POSTO JAZIDA / FORNECEDOR (SEM FRETE).</v>
      </c>
    </row>
    <row r="407" spans="1:19" s="389" customFormat="1" ht="25.5">
      <c r="A407" s="342" t="s">
        <v>432</v>
      </c>
      <c r="B407" s="332">
        <f>B406</f>
        <v>11079</v>
      </c>
      <c r="C407" s="332" t="str">
        <f>C406</f>
        <v>SINAPI (INSUMO)</v>
      </c>
      <c r="D407" s="739" t="s">
        <v>2139</v>
      </c>
      <c r="E407" s="342" t="s">
        <v>2335</v>
      </c>
      <c r="F407" s="343">
        <v>4.29</v>
      </c>
      <c r="G407" s="29">
        <v>606.66999999999996</v>
      </c>
      <c r="H407" s="352">
        <f>H406</f>
        <v>602.34</v>
      </c>
      <c r="I407" s="11">
        <v>26.44</v>
      </c>
      <c r="J407" s="10">
        <f t="shared" si="33"/>
        <v>761.6</v>
      </c>
      <c r="K407" s="383">
        <v>0</v>
      </c>
      <c r="L407" s="474">
        <f t="shared" si="32"/>
        <v>4.29</v>
      </c>
      <c r="M407" s="471">
        <f t="shared" si="34"/>
        <v>3267.26</v>
      </c>
      <c r="N407" s="405"/>
      <c r="O407" s="541"/>
      <c r="P407" s="405"/>
      <c r="Q407" s="405"/>
      <c r="S407" s="344" t="str">
        <f t="shared" si="31"/>
        <v>MATERIAL FILTRANTE (PEDREGULHO) 25,4 A 15,4MM - POSTO JAZIDA / FORNECEDOR (SEM FRETE).</v>
      </c>
    </row>
    <row r="408" spans="1:19" s="389" customFormat="1" ht="25.5">
      <c r="A408" s="342" t="s">
        <v>431</v>
      </c>
      <c r="B408" s="332">
        <f>'[3]Plan Tron'!B94</f>
        <v>11082</v>
      </c>
      <c r="C408" s="332" t="str">
        <f>'[3]Plan Tron'!C94</f>
        <v>SINAPI (INSUMO)</v>
      </c>
      <c r="D408" s="614" t="str">
        <f>'[3]Plan Tron'!D94</f>
        <v>MATERIAL FILTRANTE (PEDREGULHO) 38 A 25,4 MM (POSTO PEDREIRA/FORNECEDOR, SEM FRETE)</v>
      </c>
      <c r="E408" s="332" t="str">
        <f>'[3]Plan Tron'!E94</f>
        <v>M³</v>
      </c>
      <c r="F408" s="343">
        <v>4.29</v>
      </c>
      <c r="G408" s="29">
        <v>630.29999999999995</v>
      </c>
      <c r="H408" s="740">
        <f>'[3]Plan Tron'!F94</f>
        <v>614.53</v>
      </c>
      <c r="I408" s="11">
        <v>26.44</v>
      </c>
      <c r="J408" s="10">
        <f t="shared" si="33"/>
        <v>777.01</v>
      </c>
      <c r="K408" s="383">
        <v>0</v>
      </c>
      <c r="L408" s="474">
        <f t="shared" si="32"/>
        <v>4.29</v>
      </c>
      <c r="M408" s="471">
        <f t="shared" si="34"/>
        <v>3333.37</v>
      </c>
      <c r="N408" s="405"/>
      <c r="O408" s="541"/>
      <c r="P408" s="405"/>
      <c r="Q408" s="405"/>
      <c r="S408" s="344" t="str">
        <f t="shared" si="31"/>
        <v>MATERIAL FILTRANTE (PEDREGULHO) 38 A 25,4 MM (POSTO PEDREIRA/FORNECEDOR, SEM FRETE)</v>
      </c>
    </row>
    <row r="409" spans="1:19" s="389" customFormat="1" ht="25.5">
      <c r="A409" s="342" t="s">
        <v>430</v>
      </c>
      <c r="B409" s="332">
        <f>'[3]Plan Tron'!B96</f>
        <v>10560</v>
      </c>
      <c r="C409" s="332" t="str">
        <f>'[3]Plan Tron'!C96</f>
        <v>SINAPI (INSUMO)</v>
      </c>
      <c r="D409" s="614" t="str">
        <f>'[3]Plan Tron'!D96</f>
        <v>CARVAO ANTRACITO PARA FILTRO, GRAO VARIANDO DE 0,8 ATE 1,1 MM, COEFICIENTE DE UNIFORMIDADE MENOR QUE 1,7 MM</v>
      </c>
      <c r="E409" s="332" t="str">
        <f>'[3]Plan Tron'!E96</f>
        <v>M³</v>
      </c>
      <c r="F409" s="343">
        <v>36.020000000000003</v>
      </c>
      <c r="G409" s="29" t="s">
        <v>2020</v>
      </c>
      <c r="H409" s="740">
        <f>'[3]Plan Tron'!F96</f>
        <v>1236.05</v>
      </c>
      <c r="I409" s="11">
        <v>26.44</v>
      </c>
      <c r="J409" s="10">
        <f t="shared" si="33"/>
        <v>1562.86</v>
      </c>
      <c r="K409" s="383">
        <v>0</v>
      </c>
      <c r="L409" s="474">
        <f t="shared" si="32"/>
        <v>36.020000000000003</v>
      </c>
      <c r="M409" s="471">
        <f t="shared" si="34"/>
        <v>56294.22</v>
      </c>
      <c r="N409" s="405"/>
      <c r="O409" s="541"/>
      <c r="P409" s="405"/>
      <c r="Q409" s="405"/>
      <c r="S409" s="344" t="str">
        <f t="shared" si="31"/>
        <v>CARVAO ANTRACITO PARA FILTRO, GRAO VARIANDO DE 0,8 ATE 1,1 MM, COEFICIENTE DE UNIFORMIDADE MENOR QUE 1,7 MM</v>
      </c>
    </row>
    <row r="410" spans="1:19" s="344" customFormat="1" ht="25.5">
      <c r="A410" s="55" t="s">
        <v>429</v>
      </c>
      <c r="B410" s="29" t="s">
        <v>428</v>
      </c>
      <c r="C410" s="55"/>
      <c r="D410" s="35" t="s">
        <v>2140</v>
      </c>
      <c r="E410" s="28" t="s">
        <v>2340</v>
      </c>
      <c r="F410" s="51">
        <v>1</v>
      </c>
      <c r="G410" s="20">
        <v>197680.34</v>
      </c>
      <c r="H410" s="9">
        <f t="shared" ref="H410" si="35">G410*$P$7</f>
        <v>228380.09680199999</v>
      </c>
      <c r="I410" s="10">
        <v>26.44</v>
      </c>
      <c r="J410" s="10">
        <f>ROUND(H410*(I410/100+1),2)</f>
        <v>288763.78999999998</v>
      </c>
      <c r="K410" s="383">
        <v>0</v>
      </c>
      <c r="L410" s="474">
        <f t="shared" si="32"/>
        <v>1</v>
      </c>
      <c r="M410" s="471">
        <f t="shared" si="34"/>
        <v>288763.78999999998</v>
      </c>
      <c r="N410" s="405"/>
      <c r="O410" s="541"/>
      <c r="P410" s="405"/>
      <c r="Q410" s="405"/>
      <c r="S410" s="344" t="str">
        <f t="shared" si="31"/>
        <v>BLOCOS DRENANTES UNIVERSAIS PARA FUNDO DE FILTRO EM PEAD, FORNECIMENTO E INSTALAÇÃO, CONFORME ESPECIFICAÇÃO TÉCNICA, ÁREA DE COBERTURA EM PLANTA =  73,50M².</v>
      </c>
    </row>
    <row r="411" spans="1:19" s="414" customFormat="1">
      <c r="A411" s="650" t="s">
        <v>106</v>
      </c>
      <c r="B411" s="425"/>
      <c r="C411" s="410"/>
      <c r="D411" s="420" t="s">
        <v>2141</v>
      </c>
      <c r="E411" s="421"/>
      <c r="F411" s="430"/>
      <c r="G411" s="659"/>
      <c r="H411" s="659"/>
      <c r="I411" s="413"/>
      <c r="J411" s="413"/>
      <c r="K411" s="498"/>
      <c r="L411" s="474"/>
      <c r="M411" s="471"/>
      <c r="N411" s="419"/>
      <c r="O411" s="541"/>
      <c r="P411" s="419"/>
      <c r="Q411" s="419"/>
      <c r="S411" s="414" t="str">
        <f t="shared" si="31"/>
        <v>MONTAGENS EM GERAL</v>
      </c>
    </row>
    <row r="412" spans="1:19" s="414" customFormat="1">
      <c r="A412" s="650" t="s">
        <v>105</v>
      </c>
      <c r="B412" s="425"/>
      <c r="C412" s="410"/>
      <c r="D412" s="706" t="s">
        <v>2142</v>
      </c>
      <c r="E412" s="640"/>
      <c r="F412" s="430"/>
      <c r="G412" s="659"/>
      <c r="H412" s="659"/>
      <c r="I412" s="413"/>
      <c r="J412" s="413"/>
      <c r="K412" s="498"/>
      <c r="L412" s="474"/>
      <c r="M412" s="471"/>
      <c r="N412" s="419"/>
      <c r="O412" s="541"/>
      <c r="P412" s="419"/>
      <c r="Q412" s="419"/>
      <c r="S412" s="414" t="str">
        <f t="shared" si="31"/>
        <v>LEITO FILTRANTE</v>
      </c>
    </row>
    <row r="413" spans="1:19" s="344" customFormat="1">
      <c r="A413" s="55" t="s">
        <v>427</v>
      </c>
      <c r="B413" s="49" t="str">
        <f>'[3]Plan Tron'!B86</f>
        <v xml:space="preserve">73873/003 </v>
      </c>
      <c r="C413" s="49" t="str">
        <f>'[3]Plan Tron'!C86</f>
        <v>SINAPI</v>
      </c>
      <c r="D413" s="39" t="str">
        <f>'[3]Plan Tron'!D86</f>
        <v xml:space="preserve">LEITO FILTRANTE - COLOCACAO DE AREIA NOS FILTROS </v>
      </c>
      <c r="E413" s="672" t="str">
        <f>'[3]Plan Tron'!E86</f>
        <v>M³</v>
      </c>
      <c r="F413" s="51">
        <v>29.4</v>
      </c>
      <c r="G413" s="20">
        <v>45.78</v>
      </c>
      <c r="H413" s="20">
        <f>'[3]Plan Tron'!F86</f>
        <v>75.13</v>
      </c>
      <c r="I413" s="10">
        <v>26.44</v>
      </c>
      <c r="J413" s="10">
        <f>ROUND(H413*(I413/100+1),2)</f>
        <v>94.99</v>
      </c>
      <c r="K413" s="383">
        <v>0</v>
      </c>
      <c r="L413" s="474">
        <f>F413-K413</f>
        <v>29.4</v>
      </c>
      <c r="M413" s="471">
        <f t="shared" si="34"/>
        <v>2792.71</v>
      </c>
      <c r="N413" s="405"/>
      <c r="O413" s="541"/>
      <c r="P413" s="405"/>
      <c r="Q413" s="405"/>
      <c r="S413" s="344" t="str">
        <f t="shared" si="31"/>
        <v xml:space="preserve">LEITO FILTRANTE - COLOCACAO DE AREIA NOS FILTROS </v>
      </c>
    </row>
    <row r="414" spans="1:19" s="344" customFormat="1">
      <c r="A414" s="55" t="s">
        <v>426</v>
      </c>
      <c r="B414" s="49" t="str">
        <f>'[3]Plan Tron'!B87</f>
        <v xml:space="preserve">73873/004 </v>
      </c>
      <c r="C414" s="49" t="str">
        <f>'[3]Plan Tron'!C87</f>
        <v>SINAPI</v>
      </c>
      <c r="D414" s="39" t="str">
        <f>'[3]Plan Tron'!D87</f>
        <v xml:space="preserve">LEITO FILTRANTE - COLOCACAO DE PEDREGULHOS NOS FILTROS </v>
      </c>
      <c r="E414" s="672" t="str">
        <f>'[3]Plan Tron'!E87</f>
        <v>M³</v>
      </c>
      <c r="F414" s="51">
        <v>25.73</v>
      </c>
      <c r="G414" s="20">
        <v>50.14</v>
      </c>
      <c r="H414" s="20">
        <f>'[3]Plan Tron'!F87</f>
        <v>82.29</v>
      </c>
      <c r="I414" s="10">
        <v>26.44</v>
      </c>
      <c r="J414" s="10">
        <f t="shared" ref="J414:J415" si="36">ROUND(H414*(I414/100+1),2)</f>
        <v>104.05</v>
      </c>
      <c r="K414" s="383">
        <v>0</v>
      </c>
      <c r="L414" s="474">
        <f>F414-K414</f>
        <v>25.73</v>
      </c>
      <c r="M414" s="471">
        <f t="shared" si="34"/>
        <v>2677.21</v>
      </c>
      <c r="N414" s="405"/>
      <c r="O414" s="541"/>
      <c r="P414" s="405"/>
      <c r="Q414" s="405"/>
      <c r="S414" s="344" t="str">
        <f t="shared" si="31"/>
        <v xml:space="preserve">LEITO FILTRANTE - COLOCACAO DE PEDREGULHOS NOS FILTROS </v>
      </c>
    </row>
    <row r="415" spans="1:19" s="344" customFormat="1">
      <c r="A415" s="55" t="s">
        <v>425</v>
      </c>
      <c r="B415" s="49" t="str">
        <f>'[3]Plan Tron'!B88</f>
        <v xml:space="preserve">73873/005 </v>
      </c>
      <c r="C415" s="49" t="str">
        <f>'[3]Plan Tron'!C88</f>
        <v>SINAPI</v>
      </c>
      <c r="D415" s="39" t="str">
        <f>'[3]Plan Tron'!D88</f>
        <v xml:space="preserve">LEITO FILTRANTE - COLOCACAO DE ANTRACITO NOS FILTROS </v>
      </c>
      <c r="E415" s="672" t="str">
        <f>'[3]Plan Tron'!E88</f>
        <v>M³</v>
      </c>
      <c r="F415" s="51">
        <v>36.020000000000003</v>
      </c>
      <c r="G415" s="20">
        <v>45.78</v>
      </c>
      <c r="H415" s="20">
        <f>'[3]Plan Tron'!F88</f>
        <v>75.13</v>
      </c>
      <c r="I415" s="10">
        <v>26.44</v>
      </c>
      <c r="J415" s="10">
        <f t="shared" si="36"/>
        <v>94.99</v>
      </c>
      <c r="K415" s="383">
        <v>0</v>
      </c>
      <c r="L415" s="474">
        <f>F415-K415</f>
        <v>36.020000000000003</v>
      </c>
      <c r="M415" s="471">
        <f t="shared" si="34"/>
        <v>3421.54</v>
      </c>
      <c r="N415" s="405"/>
      <c r="O415" s="541"/>
      <c r="P415" s="405"/>
      <c r="Q415" s="405"/>
      <c r="S415" s="344" t="str">
        <f t="shared" si="31"/>
        <v xml:space="preserve">LEITO FILTRANTE - COLOCACAO DE ANTRACITO NOS FILTROS </v>
      </c>
    </row>
    <row r="416" spans="1:19" s="344" customFormat="1">
      <c r="A416" s="55"/>
      <c r="B416" s="38"/>
      <c r="C416" s="55"/>
      <c r="D416" s="110"/>
      <c r="E416" s="18"/>
      <c r="F416" s="20"/>
      <c r="G416" s="20"/>
      <c r="H416" s="20"/>
      <c r="I416" s="10"/>
      <c r="J416" s="10"/>
      <c r="K416" s="110"/>
      <c r="L416" s="474"/>
      <c r="M416" s="471"/>
      <c r="N416" s="405"/>
      <c r="O416" s="541"/>
      <c r="P416" s="405"/>
      <c r="Q416" s="405"/>
    </row>
    <row r="417" spans="1:37" s="344" customFormat="1">
      <c r="A417" s="55"/>
      <c r="B417" s="339"/>
      <c r="C417" s="55"/>
      <c r="D417" s="737" t="s">
        <v>76</v>
      </c>
      <c r="E417" s="18"/>
      <c r="F417" s="20"/>
      <c r="G417" s="20"/>
      <c r="H417" s="20"/>
      <c r="I417" s="10"/>
      <c r="J417" s="10"/>
      <c r="K417" s="383"/>
      <c r="L417" s="474"/>
      <c r="M417" s="471"/>
      <c r="N417" s="405"/>
      <c r="O417" s="541"/>
      <c r="P417" s="405"/>
      <c r="Q417" s="405"/>
      <c r="S417" s="344" t="str">
        <f>UPPER(D417)</f>
        <v/>
      </c>
    </row>
    <row r="418" spans="1:37" s="344" customFormat="1">
      <c r="A418" s="59">
        <v>8</v>
      </c>
      <c r="B418" s="339"/>
      <c r="C418" s="59"/>
      <c r="D418" s="738" t="s">
        <v>2143</v>
      </c>
      <c r="E418" s="28"/>
      <c r="F418" s="51"/>
      <c r="G418" s="20"/>
      <c r="H418" s="20"/>
      <c r="I418" s="10"/>
      <c r="J418" s="10"/>
      <c r="K418" s="383"/>
      <c r="L418" s="474"/>
      <c r="M418" s="471"/>
      <c r="N418" s="405"/>
      <c r="O418" s="541"/>
      <c r="P418" s="405"/>
      <c r="Q418" s="405"/>
      <c r="S418" s="344" t="str">
        <f>UPPER(D418)</f>
        <v>MOVIMENTO DE TERRA PARA INSTALAÇÕES DE PRODUÇÃO</v>
      </c>
    </row>
    <row r="419" spans="1:37" s="414" customFormat="1">
      <c r="A419" s="650" t="s">
        <v>90</v>
      </c>
      <c r="B419" s="425"/>
      <c r="C419" s="410"/>
      <c r="D419" s="706" t="s">
        <v>2046</v>
      </c>
      <c r="E419" s="640"/>
      <c r="F419" s="430"/>
      <c r="G419" s="659"/>
      <c r="H419" s="659"/>
      <c r="I419" s="413"/>
      <c r="J419" s="413"/>
      <c r="K419" s="498"/>
      <c r="L419" s="474"/>
      <c r="M419" s="471"/>
      <c r="N419" s="419"/>
      <c r="O419" s="541"/>
      <c r="P419" s="419"/>
      <c r="Q419" s="419"/>
      <c r="S419" s="414" t="str">
        <f>UPPER(D419)</f>
        <v>CARGA, DESCARGA E/OU TRANSPORTE DE MATERIAIS</v>
      </c>
    </row>
    <row r="420" spans="1:37" s="344" customFormat="1">
      <c r="A420" s="55" t="s">
        <v>89</v>
      </c>
      <c r="B420" s="49">
        <f>'[3]Plan Tron'!B13</f>
        <v>72885</v>
      </c>
      <c r="C420" s="49" t="str">
        <f>'[3]Plan Tron'!C13</f>
        <v>SINAPI</v>
      </c>
      <c r="D420" s="614" t="str">
        <f>'[3]Plan Tron'!D13</f>
        <v>TRANSPORTE COMERCIAL COM CAMINHAO BASCULANTE 6 M3, RODOVIA EM LEITO NATURAL</v>
      </c>
      <c r="E420" s="49" t="str">
        <f>'[3]Plan Tron'!E13</f>
        <v>M³ X KM</v>
      </c>
      <c r="F420" s="82">
        <v>455.7</v>
      </c>
      <c r="G420" s="20">
        <v>1.03</v>
      </c>
      <c r="H420" s="20">
        <f>'[3]Plan Tron'!F13</f>
        <v>1.37</v>
      </c>
      <c r="I420" s="10">
        <v>26.44</v>
      </c>
      <c r="J420" s="10">
        <f>ROUND(H420*(I420/100+1),2)</f>
        <v>1.73</v>
      </c>
      <c r="K420" s="383">
        <v>0</v>
      </c>
      <c r="L420" s="474">
        <f>F420-K420</f>
        <v>455.7</v>
      </c>
      <c r="M420" s="471">
        <f t="shared" si="34"/>
        <v>788.36</v>
      </c>
      <c r="N420" s="405"/>
      <c r="O420" s="541"/>
      <c r="P420" s="405"/>
      <c r="Q420" s="405"/>
      <c r="S420" s="344" t="str">
        <f>UPPER(D420)</f>
        <v>TRANSPORTE COMERCIAL COM CAMINHAO BASCULANTE 6 M3, RODOVIA EM LEITO NATURAL</v>
      </c>
    </row>
    <row r="421" spans="1:37" s="344" customFormat="1" ht="25.5">
      <c r="A421" s="55" t="s">
        <v>424</v>
      </c>
      <c r="B421" s="49">
        <f>'[3]Plan Tron'!B14</f>
        <v>72888</v>
      </c>
      <c r="C421" s="49" t="str">
        <f>'[3]Plan Tron'!C14</f>
        <v>SINAPI</v>
      </c>
      <c r="D421" s="614" t="str">
        <f>'[3]Plan Tron'!D14</f>
        <v>CARGA, MANOBRAS E DESCARGA DE AREIA, BRITA, PEDRA DE MAO E SOLOS COM CAMINHAO BASCULANTE 6 M3 (DESCARGA LIVRE)</v>
      </c>
      <c r="E421" s="49" t="str">
        <f>'[3]Plan Tron'!E14</f>
        <v>M³</v>
      </c>
      <c r="F421" s="82">
        <v>91.14</v>
      </c>
      <c r="G421" s="20">
        <v>0.81</v>
      </c>
      <c r="H421" s="20">
        <f>'[3]Plan Tron'!F14</f>
        <v>0.96</v>
      </c>
      <c r="I421" s="10">
        <v>26.44</v>
      </c>
      <c r="J421" s="10">
        <f>ROUND(H421*(I421/100+1),2)</f>
        <v>1.21</v>
      </c>
      <c r="K421" s="383">
        <v>0</v>
      </c>
      <c r="L421" s="474">
        <f>F421-K421</f>
        <v>91.14</v>
      </c>
      <c r="M421" s="471">
        <f t="shared" si="34"/>
        <v>110.28</v>
      </c>
      <c r="N421" s="405"/>
      <c r="O421" s="541"/>
      <c r="P421" s="405"/>
      <c r="Q421" s="405"/>
      <c r="S421" s="344" t="str">
        <f>UPPER(D421)</f>
        <v>CARGA, MANOBRAS E DESCARGA DE AREIA, BRITA, PEDRA DE MAO E SOLOS COM CAMINHAO BASCULANTE 6 M3 (DESCARGA LIVRE)</v>
      </c>
    </row>
    <row r="422" spans="1:37" s="344" customFormat="1">
      <c r="A422" s="55"/>
      <c r="B422" s="83"/>
      <c r="C422" s="55"/>
      <c r="D422" s="110"/>
      <c r="E422" s="18"/>
      <c r="F422" s="20"/>
      <c r="G422" s="315"/>
      <c r="H422" s="51"/>
      <c r="I422" s="10"/>
      <c r="J422" s="10"/>
      <c r="K422" s="110"/>
      <c r="L422" s="474"/>
      <c r="M422" s="471"/>
      <c r="N422" s="405"/>
      <c r="O422" s="541"/>
      <c r="P422" s="405"/>
      <c r="Q422" s="405"/>
    </row>
    <row r="423" spans="1:37" s="344" customFormat="1">
      <c r="A423" s="55"/>
      <c r="B423" s="29"/>
      <c r="C423" s="55"/>
      <c r="D423" s="396" t="s">
        <v>76</v>
      </c>
      <c r="E423" s="18"/>
      <c r="F423" s="20"/>
      <c r="G423" s="316"/>
      <c r="H423" s="20"/>
      <c r="I423" s="10"/>
      <c r="J423" s="10"/>
      <c r="K423" s="383"/>
      <c r="L423" s="474"/>
      <c r="M423" s="471"/>
      <c r="N423" s="405"/>
      <c r="O423" s="541"/>
      <c r="P423" s="405"/>
      <c r="Q423" s="405"/>
      <c r="S423" s="344" t="str">
        <f t="shared" ref="S423:S428" si="37">UPPER(D423)</f>
        <v/>
      </c>
    </row>
    <row r="424" spans="1:37" ht="15.75">
      <c r="A424" s="59">
        <v>9</v>
      </c>
      <c r="B424" s="475"/>
      <c r="C424" s="59"/>
      <c r="D424" s="396" t="s">
        <v>2109</v>
      </c>
      <c r="E424" s="18"/>
      <c r="F424" s="20"/>
      <c r="G424" s="316"/>
      <c r="H424" s="20"/>
      <c r="I424" s="10"/>
      <c r="J424" s="10"/>
      <c r="K424" s="383"/>
      <c r="L424" s="474"/>
      <c r="M424" s="471"/>
      <c r="N424" s="405"/>
      <c r="O424" s="541"/>
      <c r="P424" s="405"/>
      <c r="Q424" s="405"/>
      <c r="S424" s="344" t="str">
        <f t="shared" si="37"/>
        <v>MONTAGEM DE MATERIAIS E EQUIPAMENTOS HIDRÁULICOS, HIDROMECÂNICOS E DIVERSOS</v>
      </c>
    </row>
    <row r="425" spans="1:37" s="344" customFormat="1" ht="25.5">
      <c r="A425" s="55" t="s">
        <v>87</v>
      </c>
      <c r="B425" s="83" t="s">
        <v>308</v>
      </c>
      <c r="C425" s="55"/>
      <c r="D425" s="35" t="s">
        <v>2144</v>
      </c>
      <c r="E425" s="18" t="s">
        <v>2339</v>
      </c>
      <c r="F425" s="20">
        <v>1</v>
      </c>
      <c r="G425" s="20">
        <v>26578.719999999998</v>
      </c>
      <c r="H425" s="9">
        <f t="shared" ref="H425:H428" si="38">G425*$P$7</f>
        <v>30706.395215999997</v>
      </c>
      <c r="I425" s="10">
        <v>26.44</v>
      </c>
      <c r="J425" s="10">
        <f>ROUND(H425*(I425/100+1),2)</f>
        <v>38825.17</v>
      </c>
      <c r="K425" s="383">
        <v>0</v>
      </c>
      <c r="L425" s="474">
        <f>F425-K425</f>
        <v>1</v>
      </c>
      <c r="M425" s="471">
        <f t="shared" si="34"/>
        <v>38825.17</v>
      </c>
      <c r="N425" s="405"/>
      <c r="O425" s="541"/>
      <c r="P425" s="405"/>
      <c r="Q425" s="405"/>
      <c r="S425" s="344" t="str">
        <f t="shared" si="37"/>
        <v>MONTAGEM HIDRÁULICA E HIDROMECÂNICA DE TUBOS, PEÇAS, ACESSÓRIOS E EQUIPAMENTOS DA LISTA DE MATERIAL DOS FLOCULADORES - 1ª ETAPA.</v>
      </c>
    </row>
    <row r="426" spans="1:37" s="344" customFormat="1" ht="25.5">
      <c r="A426" s="55" t="s">
        <v>423</v>
      </c>
      <c r="B426" s="83" t="s">
        <v>308</v>
      </c>
      <c r="C426" s="55"/>
      <c r="D426" s="35" t="s">
        <v>2145</v>
      </c>
      <c r="E426" s="18" t="s">
        <v>2339</v>
      </c>
      <c r="F426" s="20">
        <v>1</v>
      </c>
      <c r="G426" s="20">
        <v>12910.24</v>
      </c>
      <c r="H426" s="9">
        <f t="shared" si="38"/>
        <v>14915.200272</v>
      </c>
      <c r="I426" s="10">
        <v>26.44</v>
      </c>
      <c r="J426" s="10">
        <f t="shared" ref="J426:J428" si="39">ROUND(H426*(I426/100+1),2)</f>
        <v>18858.78</v>
      </c>
      <c r="K426" s="383">
        <v>0</v>
      </c>
      <c r="L426" s="474">
        <f>F426-K426</f>
        <v>1</v>
      </c>
      <c r="M426" s="471">
        <f t="shared" si="34"/>
        <v>18858.78</v>
      </c>
      <c r="N426" s="405"/>
      <c r="O426" s="541"/>
      <c r="P426" s="405"/>
      <c r="Q426" s="405"/>
      <c r="S426" s="344" t="str">
        <f t="shared" si="37"/>
        <v>MONTAGEM HIDRÁULICA E HIDROMECÂNICA DE TUBOS, PEÇAS, ACESSÓRIOS E EQUIPAMENTOS DA LISTA DE MATERIAL DOS DECANTADORES - 1ª ETAPA.</v>
      </c>
    </row>
    <row r="427" spans="1:37" s="344" customFormat="1">
      <c r="A427" s="55" t="s">
        <v>422</v>
      </c>
      <c r="B427" s="83" t="s">
        <v>308</v>
      </c>
      <c r="C427" s="55"/>
      <c r="D427" s="35" t="s">
        <v>2146</v>
      </c>
      <c r="E427" s="18" t="s">
        <v>2339</v>
      </c>
      <c r="F427" s="20">
        <v>1</v>
      </c>
      <c r="G427" s="20">
        <v>46192.600000000006</v>
      </c>
      <c r="H427" s="9">
        <f t="shared" si="38"/>
        <v>53366.310780000007</v>
      </c>
      <c r="I427" s="10">
        <v>26.44</v>
      </c>
      <c r="J427" s="10">
        <f t="shared" si="39"/>
        <v>67476.36</v>
      </c>
      <c r="K427" s="383">
        <v>0</v>
      </c>
      <c r="L427" s="474">
        <f>F427-K427</f>
        <v>1</v>
      </c>
      <c r="M427" s="471">
        <f t="shared" si="34"/>
        <v>67476.36</v>
      </c>
      <c r="N427" s="405"/>
      <c r="O427" s="541"/>
      <c r="P427" s="405"/>
      <c r="Q427" s="405"/>
      <c r="S427" s="344" t="str">
        <f t="shared" si="37"/>
        <v>SERVIÇO DE SUPERVISÃO, MONTAGEM E INSTALAÇÃO DOS MÓDULOS TUBULARES.</v>
      </c>
    </row>
    <row r="428" spans="1:37" s="344" customFormat="1" ht="25.5">
      <c r="A428" s="55" t="s">
        <v>421</v>
      </c>
      <c r="B428" s="29" t="s">
        <v>308</v>
      </c>
      <c r="C428" s="55"/>
      <c r="D428" s="35" t="s">
        <v>2147</v>
      </c>
      <c r="E428" s="18" t="s">
        <v>2339</v>
      </c>
      <c r="F428" s="20">
        <v>1</v>
      </c>
      <c r="G428" s="20">
        <v>125067.20000000001</v>
      </c>
      <c r="H428" s="9">
        <f t="shared" si="38"/>
        <v>144490.13616000002</v>
      </c>
      <c r="I428" s="10">
        <v>26.44</v>
      </c>
      <c r="J428" s="10">
        <f t="shared" si="39"/>
        <v>182693.33</v>
      </c>
      <c r="K428" s="383">
        <v>0</v>
      </c>
      <c r="L428" s="474">
        <f>F428-K428</f>
        <v>1</v>
      </c>
      <c r="M428" s="471">
        <f t="shared" si="34"/>
        <v>182693.33</v>
      </c>
      <c r="N428" s="405"/>
      <c r="O428" s="541"/>
      <c r="P428" s="405"/>
      <c r="Q428" s="405"/>
      <c r="S428" s="344" t="str">
        <f t="shared" si="37"/>
        <v>MONTAGEM HIDRÁULICA E HIDROMECÂNICA DE TUBOS, PEÇAS, ACESSÓRIOS E EQUIPAMENTOS DA LISTA DE MATERIAL DOS FILTROS - 1ª ETAPA.</v>
      </c>
    </row>
    <row r="429" spans="1:37" s="344" customFormat="1">
      <c r="A429" s="88"/>
      <c r="B429" s="65"/>
      <c r="C429" s="88"/>
      <c r="D429" s="110"/>
      <c r="E429" s="18"/>
      <c r="F429" s="20"/>
      <c r="G429" s="20"/>
      <c r="H429" s="20"/>
      <c r="I429" s="20"/>
      <c r="J429" s="20"/>
      <c r="K429" s="110"/>
      <c r="L429" s="474"/>
      <c r="M429" s="472"/>
      <c r="N429" s="405"/>
      <c r="O429" s="541"/>
      <c r="P429" s="405"/>
      <c r="Q429" s="405"/>
    </row>
    <row r="430" spans="1:37">
      <c r="A430" s="88"/>
      <c r="B430" s="65"/>
      <c r="C430" s="88"/>
      <c r="D430" s="438"/>
      <c r="E430" s="18"/>
      <c r="F430" s="20"/>
      <c r="G430" s="316"/>
      <c r="H430" s="20"/>
      <c r="I430" s="20"/>
      <c r="J430" s="20"/>
      <c r="K430" s="110"/>
      <c r="L430" s="474"/>
      <c r="M430" s="472"/>
      <c r="N430" s="405"/>
      <c r="O430" s="541"/>
      <c r="P430" s="405"/>
      <c r="Q430" s="405"/>
    </row>
    <row r="431" spans="1:37" s="299" customFormat="1">
      <c r="A431" s="297"/>
      <c r="B431" s="298"/>
      <c r="C431" s="298"/>
      <c r="D431" s="513" t="s">
        <v>2355</v>
      </c>
      <c r="E431" s="297"/>
      <c r="F431" s="298"/>
      <c r="G431" s="301"/>
      <c r="H431" s="338"/>
      <c r="I431" s="298"/>
      <c r="J431" s="298"/>
      <c r="K431" s="513"/>
      <c r="L431" s="508"/>
      <c r="M431" s="505">
        <f>SUM(M341:M429)</f>
        <v>1437902.75</v>
      </c>
      <c r="N431" s="405"/>
      <c r="O431" s="541"/>
      <c r="P431" s="405"/>
      <c r="Q431" s="405"/>
      <c r="R431" s="388"/>
      <c r="S431" s="344" t="str">
        <f>UPPER(K431)</f>
        <v/>
      </c>
      <c r="T431" s="388"/>
      <c r="U431" s="388"/>
      <c r="V431" s="388"/>
      <c r="W431" s="388"/>
      <c r="X431" s="388"/>
      <c r="Y431" s="388"/>
      <c r="Z431" s="388"/>
      <c r="AA431" s="388"/>
      <c r="AB431" s="388"/>
      <c r="AC431" s="388"/>
      <c r="AD431" s="388"/>
      <c r="AE431" s="388"/>
      <c r="AF431" s="388"/>
      <c r="AG431" s="388"/>
      <c r="AH431" s="388"/>
      <c r="AI431" s="388"/>
      <c r="AJ431" s="388"/>
      <c r="AK431" s="388"/>
    </row>
    <row r="432" spans="1:37" s="299" customFormat="1">
      <c r="A432" s="297"/>
      <c r="B432" s="298"/>
      <c r="C432" s="298"/>
      <c r="D432" s="442" t="s">
        <v>76</v>
      </c>
      <c r="E432" s="297" t="s">
        <v>76</v>
      </c>
      <c r="F432" s="298"/>
      <c r="G432" s="301"/>
      <c r="H432" s="338"/>
      <c r="I432" s="298"/>
      <c r="J432" s="298"/>
      <c r="K432" s="341"/>
      <c r="L432" s="474"/>
      <c r="M432" s="471"/>
      <c r="N432" s="405"/>
      <c r="O432" s="541"/>
      <c r="P432" s="405"/>
      <c r="Q432" s="405"/>
      <c r="R432" s="388"/>
      <c r="S432" s="344" t="str">
        <f t="shared" ref="S432:S447" si="40">UPPER(D432)</f>
        <v/>
      </c>
      <c r="T432" s="388"/>
      <c r="U432" s="388"/>
      <c r="V432" s="388"/>
      <c r="W432" s="388"/>
      <c r="X432" s="388"/>
      <c r="Y432" s="388"/>
      <c r="Z432" s="388"/>
      <c r="AA432" s="388"/>
      <c r="AB432" s="388"/>
      <c r="AC432" s="388"/>
      <c r="AD432" s="388"/>
      <c r="AE432" s="388"/>
      <c r="AF432" s="388"/>
      <c r="AG432" s="388"/>
      <c r="AH432" s="388"/>
      <c r="AI432" s="388"/>
      <c r="AJ432" s="388"/>
      <c r="AK432" s="388"/>
    </row>
    <row r="433" spans="1:19" s="450" customFormat="1">
      <c r="A433" s="445" t="s">
        <v>67</v>
      </c>
      <c r="B433" s="446"/>
      <c r="C433" s="447"/>
      <c r="D433" s="448" t="s">
        <v>1994</v>
      </c>
      <c r="E433" s="453" t="s">
        <v>76</v>
      </c>
      <c r="F433" s="446"/>
      <c r="G433" s="446"/>
      <c r="H433" s="446"/>
      <c r="I433" s="446"/>
      <c r="J433" s="446"/>
      <c r="K433" s="473"/>
      <c r="L433" s="478"/>
      <c r="M433" s="479"/>
      <c r="N433" s="454"/>
      <c r="O433" s="541"/>
      <c r="P433" s="454"/>
      <c r="Q433" s="454"/>
      <c r="S433" s="450" t="str">
        <f t="shared" si="40"/>
        <v>INSTALAÇÕES ELÉTRICAS (MÓDULO DE TRATAMENTO)</v>
      </c>
    </row>
    <row r="434" spans="1:19" s="450" customFormat="1" ht="13.5" customHeight="1">
      <c r="A434" s="455"/>
      <c r="B434" s="456"/>
      <c r="C434" s="455"/>
      <c r="D434" s="457" t="s">
        <v>2148</v>
      </c>
      <c r="E434" s="458" t="s">
        <v>76</v>
      </c>
      <c r="F434" s="459"/>
      <c r="G434" s="460"/>
      <c r="H434" s="460"/>
      <c r="I434" s="460"/>
      <c r="J434" s="460"/>
      <c r="K434" s="473"/>
      <c r="L434" s="478"/>
      <c r="M434" s="479"/>
      <c r="N434" s="454"/>
      <c r="O434" s="541"/>
      <c r="P434" s="454"/>
      <c r="Q434" s="454"/>
      <c r="S434" s="450" t="str">
        <f t="shared" si="40"/>
        <v>MONTAGEM DE MATERIAIS E EQUIPAMENTOS ELÉTRICOS, DE AUTOMAÇÃO E DIVERSOS - MÓDULO DE TRATAMENTO</v>
      </c>
    </row>
    <row r="435" spans="1:19" s="344" customFormat="1">
      <c r="A435" s="45">
        <v>1</v>
      </c>
      <c r="B435" s="50"/>
      <c r="C435" s="45"/>
      <c r="D435" s="53" t="s">
        <v>2149</v>
      </c>
      <c r="E435" s="47" t="s">
        <v>76</v>
      </c>
      <c r="F435" s="76"/>
      <c r="G435" s="10"/>
      <c r="H435" s="10"/>
      <c r="I435" s="10"/>
      <c r="J435" s="10"/>
      <c r="K435" s="383"/>
      <c r="L435" s="474"/>
      <c r="M435" s="471"/>
      <c r="N435" s="405"/>
      <c r="O435" s="541"/>
      <c r="P435" s="405"/>
      <c r="Q435" s="405"/>
      <c r="S435" s="344" t="str">
        <f t="shared" si="40"/>
        <v>MONTAGEM ELÉTRICA - MÓDULO DE TRATAMENTO</v>
      </c>
    </row>
    <row r="436" spans="1:19" s="344" customFormat="1">
      <c r="A436" s="49" t="s">
        <v>20</v>
      </c>
      <c r="B436" s="50" t="s">
        <v>443</v>
      </c>
      <c r="C436" s="49"/>
      <c r="D436" s="130" t="s">
        <v>2150</v>
      </c>
      <c r="E436" s="18" t="s">
        <v>2337</v>
      </c>
      <c r="F436" s="51">
        <v>1</v>
      </c>
      <c r="G436" s="10">
        <v>3269.52</v>
      </c>
      <c r="H436" s="9">
        <f t="shared" ref="H436:H437" si="41">G436*$P$7</f>
        <v>3777.2764560000001</v>
      </c>
      <c r="I436" s="10">
        <v>26.44</v>
      </c>
      <c r="J436" s="10">
        <f>ROUND(H436*(I436/100+1),2)</f>
        <v>4775.99</v>
      </c>
      <c r="K436" s="383">
        <v>0</v>
      </c>
      <c r="L436" s="474">
        <f>F436-K436</f>
        <v>1</v>
      </c>
      <c r="M436" s="471">
        <f t="shared" ref="M436:M447" si="42">ROUND(L436*J436,2)</f>
        <v>4775.99</v>
      </c>
      <c r="N436" s="405"/>
      <c r="O436" s="541"/>
      <c r="P436" s="405"/>
      <c r="Q436" s="405"/>
      <c r="S436" s="344" t="str">
        <f t="shared" si="40"/>
        <v>MONTAGEM DE MATERIAIS ELÉTRICOS DE  BAIXA TENSÃO, CONFORME COMPOSIÇÃO EM ANEXO.</v>
      </c>
    </row>
    <row r="437" spans="1:19" s="344" customFormat="1">
      <c r="A437" s="49" t="s">
        <v>18</v>
      </c>
      <c r="B437" s="50" t="s">
        <v>442</v>
      </c>
      <c r="C437" s="49"/>
      <c r="D437" s="130" t="s">
        <v>2151</v>
      </c>
      <c r="E437" s="7" t="s">
        <v>2337</v>
      </c>
      <c r="F437" s="21">
        <v>1</v>
      </c>
      <c r="G437" s="10">
        <v>5449.2</v>
      </c>
      <c r="H437" s="9">
        <f t="shared" si="41"/>
        <v>6295.4607599999999</v>
      </c>
      <c r="I437" s="10">
        <v>26.44</v>
      </c>
      <c r="J437" s="10">
        <f>ROUND(H437*(I437/100+1),2)</f>
        <v>7959.98</v>
      </c>
      <c r="K437" s="383">
        <v>0</v>
      </c>
      <c r="L437" s="474">
        <f>F437-K437</f>
        <v>1</v>
      </c>
      <c r="M437" s="471">
        <f t="shared" si="42"/>
        <v>7959.98</v>
      </c>
      <c r="N437" s="405"/>
      <c r="O437" s="541"/>
      <c r="P437" s="405"/>
      <c r="Q437" s="405"/>
      <c r="S437" s="344" t="str">
        <f t="shared" si="40"/>
        <v>INSTALAÇÃO E COMISSIONAMENTO DE PAINÉIS E QUADROS, CONFORME COMPOSIÇÃO EM ANEXO.</v>
      </c>
    </row>
    <row r="438" spans="1:19" s="414" customFormat="1">
      <c r="A438" s="410" t="s">
        <v>17</v>
      </c>
      <c r="B438" s="428"/>
      <c r="C438" s="410"/>
      <c r="D438" s="429" t="s">
        <v>2090</v>
      </c>
      <c r="E438" s="421" t="s">
        <v>76</v>
      </c>
      <c r="F438" s="430"/>
      <c r="G438" s="413"/>
      <c r="H438" s="413"/>
      <c r="I438" s="413"/>
      <c r="J438" s="10"/>
      <c r="K438" s="498"/>
      <c r="L438" s="474"/>
      <c r="M438" s="471"/>
      <c r="N438" s="419"/>
      <c r="O438" s="541"/>
      <c r="P438" s="419"/>
      <c r="Q438" s="419"/>
      <c r="S438" s="414" t="str">
        <f t="shared" si="40"/>
        <v>FIOS E CABOS</v>
      </c>
    </row>
    <row r="439" spans="1:19" s="389" customFormat="1" ht="25.5">
      <c r="A439" s="345" t="s">
        <v>195</v>
      </c>
      <c r="B439" s="49">
        <f>B441</f>
        <v>91927</v>
      </c>
      <c r="C439" s="49" t="str">
        <f>'[3]Plan Tron'!C44</f>
        <v>SINAPI</v>
      </c>
      <c r="D439" s="614" t="str">
        <f>'[3]Plan Tron'!D44</f>
        <v>CABO DE COBRE FLEXÍVEL ISOLADO, 2,5 MM², ANTI-CHAMA 0,6/1,0 KV, PARA CIRCUITOS TERMINAIS - FORNECIMENTO E INSTALAÇÃO. AF_12/2015 - COR AMARELO</v>
      </c>
      <c r="E439" s="345" t="s">
        <v>2336</v>
      </c>
      <c r="F439" s="346">
        <v>900</v>
      </c>
      <c r="G439" s="11">
        <v>2.59</v>
      </c>
      <c r="H439" s="77">
        <f>'[3]Plan Tron'!F41</f>
        <v>2.9</v>
      </c>
      <c r="I439" s="11">
        <v>26.44</v>
      </c>
      <c r="J439" s="10">
        <f t="shared" ref="J439:J447" si="43">ROUND(H439*(I439/100+1),2)</f>
        <v>3.67</v>
      </c>
      <c r="K439" s="383">
        <v>0</v>
      </c>
      <c r="L439" s="474">
        <f>F439-K439</f>
        <v>900</v>
      </c>
      <c r="M439" s="471">
        <f t="shared" si="42"/>
        <v>3303</v>
      </c>
      <c r="N439" s="405"/>
      <c r="O439" s="541"/>
      <c r="P439" s="405"/>
      <c r="Q439" s="405"/>
      <c r="S439" s="344" t="str">
        <f t="shared" si="40"/>
        <v>CABO DE COBRE FLEXÍVEL ISOLADO, 2,5 MM², ANTI-CHAMA 0,6/1,0 KV, PARA CIRCUITOS TERMINAIS - FORNECIMENTO E INSTALAÇÃO. AF_12/2015 - COR AMARELO</v>
      </c>
    </row>
    <row r="440" spans="1:19" s="389" customFormat="1" ht="25.5">
      <c r="A440" s="345" t="s">
        <v>192</v>
      </c>
      <c r="B440" s="332">
        <f>'[3]Plan Tron'!B46</f>
        <v>92982</v>
      </c>
      <c r="C440" s="332" t="str">
        <f>'[3]Plan Tron'!C46</f>
        <v>SINAPI</v>
      </c>
      <c r="D440" s="614" t="str">
        <f>'[3]Plan Tron'!D46</f>
        <v>CABO DE COBRE FLEXÍVEL ISOLADO, 16 MM², ANTI-CHAMA 0,6/1,0 KV, PARA DISTRIBUIÇÃO - FORNECIMENTO E INSTALAÇÃO. AF_12/2015</v>
      </c>
      <c r="E440" s="345" t="s">
        <v>2336</v>
      </c>
      <c r="F440" s="346">
        <v>320</v>
      </c>
      <c r="G440" s="11">
        <v>8.99</v>
      </c>
      <c r="H440" s="77">
        <f>'[3]Plan Tron'!F46</f>
        <v>7.72</v>
      </c>
      <c r="I440" s="11">
        <v>26.44</v>
      </c>
      <c r="J440" s="10">
        <f t="shared" si="43"/>
        <v>9.76</v>
      </c>
      <c r="K440" s="383">
        <v>0</v>
      </c>
      <c r="L440" s="474">
        <f>F440-K440</f>
        <v>320</v>
      </c>
      <c r="M440" s="471">
        <f t="shared" si="42"/>
        <v>3123.2</v>
      </c>
      <c r="N440" s="405"/>
      <c r="O440" s="541"/>
      <c r="P440" s="405"/>
      <c r="Q440" s="405"/>
      <c r="S440" s="344" t="str">
        <f t="shared" si="40"/>
        <v>CABO DE COBRE FLEXÍVEL ISOLADO, 16 MM², ANTI-CHAMA 0,6/1,0 KV, PARA DISTRIBUIÇÃO - FORNECIMENTO E INSTALAÇÃO. AF_12/2015</v>
      </c>
    </row>
    <row r="441" spans="1:19" s="389" customFormat="1" ht="25.5">
      <c r="A441" s="345" t="s">
        <v>280</v>
      </c>
      <c r="B441" s="49">
        <f>'[3]Plan Tron'!B43</f>
        <v>91927</v>
      </c>
      <c r="C441" s="49" t="str">
        <f>'[3]Plan Tron'!C43</f>
        <v>SINAPI</v>
      </c>
      <c r="D441" s="614" t="str">
        <f>'[3]Plan Tron'!D43</f>
        <v>CABO DE COBRE FLEXÍVEL ISOLADO, 2,5 MM², ANTI-CHAMA 0,6/1,0 KV, PARA CIRCUITOS TERMINAIS - FORNECIMENTO E INSTALAÇÃO. AF_12/2015 - COR VERDE</v>
      </c>
      <c r="E441" s="345" t="s">
        <v>2336</v>
      </c>
      <c r="F441" s="346">
        <v>100</v>
      </c>
      <c r="G441" s="11">
        <v>2.59</v>
      </c>
      <c r="H441" s="77">
        <f>'[3]Plan Tron'!F43</f>
        <v>2.9</v>
      </c>
      <c r="I441" s="11">
        <v>26.44</v>
      </c>
      <c r="J441" s="10">
        <f t="shared" si="43"/>
        <v>3.67</v>
      </c>
      <c r="K441" s="383">
        <v>0</v>
      </c>
      <c r="L441" s="474">
        <f>F441-K441</f>
        <v>100</v>
      </c>
      <c r="M441" s="471">
        <f t="shared" si="42"/>
        <v>367</v>
      </c>
      <c r="N441" s="405"/>
      <c r="O441" s="541"/>
      <c r="P441" s="405"/>
      <c r="Q441" s="405"/>
      <c r="S441" s="344" t="str">
        <f t="shared" si="40"/>
        <v>CABO DE COBRE FLEXÍVEL ISOLADO, 2,5 MM², ANTI-CHAMA 0,6/1,0 KV, PARA CIRCUITOS TERMINAIS - FORNECIMENTO E INSTALAÇÃO. AF_12/2015 - COR VERDE</v>
      </c>
    </row>
    <row r="442" spans="1:19" s="736" customFormat="1">
      <c r="A442" s="733" t="s">
        <v>16</v>
      </c>
      <c r="B442" s="411"/>
      <c r="C442" s="733"/>
      <c r="D442" s="734" t="s">
        <v>2091</v>
      </c>
      <c r="E442" s="616" t="s">
        <v>76</v>
      </c>
      <c r="F442" s="735"/>
      <c r="G442" s="411"/>
      <c r="H442" s="411"/>
      <c r="I442" s="411"/>
      <c r="J442" s="10"/>
      <c r="K442" s="498"/>
      <c r="L442" s="474"/>
      <c r="M442" s="471"/>
      <c r="N442" s="419"/>
      <c r="O442" s="541"/>
      <c r="P442" s="419"/>
      <c r="Q442" s="419"/>
      <c r="S442" s="414" t="str">
        <f t="shared" si="40"/>
        <v>ELETRODUTOS E AFINS</v>
      </c>
    </row>
    <row r="443" spans="1:19" s="389" customFormat="1">
      <c r="A443" s="345" t="s">
        <v>270</v>
      </c>
      <c r="B443" s="49" t="str">
        <f>'[3]Plan Tron'!B53</f>
        <v xml:space="preserve">380404 </v>
      </c>
      <c r="C443" s="49" t="str">
        <f>'[3]Plan Tron'!C53</f>
        <v>CPOS</v>
      </c>
      <c r="D443" s="612" t="str">
        <f>'[3]Plan Tron'!D53</f>
        <v xml:space="preserve">ELETRODUTO DE FERRO GALVANIZADO, MÉDIO DE 3/4' - COM ACESSÓRIOS </v>
      </c>
      <c r="E443" s="49" t="str">
        <f>'[3]Plan Tron'!E53</f>
        <v>M</v>
      </c>
      <c r="F443" s="346">
        <v>42</v>
      </c>
      <c r="G443" s="11">
        <v>19.86</v>
      </c>
      <c r="H443" s="77">
        <f>'[3]Plan Tron'!F53</f>
        <v>20.7</v>
      </c>
      <c r="I443" s="11">
        <v>26.44</v>
      </c>
      <c r="J443" s="10">
        <f t="shared" si="43"/>
        <v>26.17</v>
      </c>
      <c r="K443" s="383">
        <v>0</v>
      </c>
      <c r="L443" s="474">
        <f>F443-K443</f>
        <v>42</v>
      </c>
      <c r="M443" s="471">
        <f t="shared" si="42"/>
        <v>1099.1400000000001</v>
      </c>
      <c r="N443" s="405"/>
      <c r="O443" s="541"/>
      <c r="P443" s="405"/>
      <c r="Q443" s="405"/>
      <c r="S443" s="344" t="str">
        <f t="shared" si="40"/>
        <v xml:space="preserve">ELETRODUTO DE FERRO GALVANIZADO, MÉDIO DE 3/4' - COM ACESSÓRIOS </v>
      </c>
    </row>
    <row r="444" spans="1:19" s="389" customFormat="1">
      <c r="A444" s="345" t="s">
        <v>369</v>
      </c>
      <c r="B444" s="49" t="str">
        <f>'[3]Plan Tron'!B54</f>
        <v xml:space="preserve">380406 </v>
      </c>
      <c r="C444" s="49" t="str">
        <f>'[3]Plan Tron'!C54</f>
        <v>CPOS</v>
      </c>
      <c r="D444" s="612" t="str">
        <f>'[3]Plan Tron'!D54</f>
        <v xml:space="preserve">ELETRODUTO DE FERRO GALVANIZADO, MÉDIO DE 1' - COM ACESSÓRIOS </v>
      </c>
      <c r="E444" s="49" t="str">
        <f>'[3]Plan Tron'!E54</f>
        <v>M</v>
      </c>
      <c r="F444" s="346">
        <v>42</v>
      </c>
      <c r="G444" s="11">
        <v>21.38</v>
      </c>
      <c r="H444" s="77">
        <f>'[3]Plan Tron'!F54</f>
        <v>24.56</v>
      </c>
      <c r="I444" s="11">
        <v>26.44</v>
      </c>
      <c r="J444" s="10">
        <f t="shared" si="43"/>
        <v>31.05</v>
      </c>
      <c r="K444" s="383">
        <v>0</v>
      </c>
      <c r="L444" s="474">
        <f>F444-K444</f>
        <v>42</v>
      </c>
      <c r="M444" s="471">
        <f t="shared" si="42"/>
        <v>1304.0999999999999</v>
      </c>
      <c r="N444" s="405"/>
      <c r="O444" s="541"/>
      <c r="P444" s="405"/>
      <c r="Q444" s="405"/>
      <c r="S444" s="344" t="str">
        <f t="shared" si="40"/>
        <v xml:space="preserve">ELETRODUTO DE FERRO GALVANIZADO, MÉDIO DE 1' - COM ACESSÓRIOS </v>
      </c>
    </row>
    <row r="445" spans="1:19" s="389" customFormat="1">
      <c r="A445" s="345" t="s">
        <v>367</v>
      </c>
      <c r="B445" s="49" t="str">
        <f>'[3]Plan Tron'!B56</f>
        <v xml:space="preserve">380412 </v>
      </c>
      <c r="C445" s="49" t="str">
        <f>'[3]Plan Tron'!C56</f>
        <v>CPOS</v>
      </c>
      <c r="D445" s="612" t="str">
        <f>'[3]Plan Tron'!D56</f>
        <v xml:space="preserve">ELETRODUTO DE FERRO GALVANIZADO, MÉDIO DE 2' - COM ACESSÓRIOS </v>
      </c>
      <c r="E445" s="49" t="str">
        <f>'[3]Plan Tron'!E56</f>
        <v>M</v>
      </c>
      <c r="F445" s="346">
        <v>21</v>
      </c>
      <c r="G445" s="11">
        <v>43.79</v>
      </c>
      <c r="H445" s="77">
        <f>'[3]Plan Tron'!F56</f>
        <v>39.76</v>
      </c>
      <c r="I445" s="11">
        <v>26.44</v>
      </c>
      <c r="J445" s="10">
        <f t="shared" si="43"/>
        <v>50.27</v>
      </c>
      <c r="K445" s="383">
        <v>0</v>
      </c>
      <c r="L445" s="474">
        <f>F445-K445</f>
        <v>21</v>
      </c>
      <c r="M445" s="471">
        <f t="shared" si="42"/>
        <v>1055.67</v>
      </c>
      <c r="N445" s="405"/>
      <c r="O445" s="541"/>
      <c r="P445" s="405"/>
      <c r="Q445" s="405"/>
      <c r="S445" s="344" t="str">
        <f t="shared" si="40"/>
        <v xml:space="preserve">ELETRODUTO DE FERRO GALVANIZADO, MÉDIO DE 2' - COM ACESSÓRIOS </v>
      </c>
    </row>
    <row r="446" spans="1:19" s="414" customFormat="1">
      <c r="A446" s="410" t="s">
        <v>15</v>
      </c>
      <c r="B446" s="428"/>
      <c r="C446" s="410"/>
      <c r="D446" s="429" t="s">
        <v>2152</v>
      </c>
      <c r="E446" s="617" t="s">
        <v>76</v>
      </c>
      <c r="F446" s="430"/>
      <c r="G446" s="413"/>
      <c r="I446" s="413"/>
      <c r="J446" s="10"/>
      <c r="K446" s="498"/>
      <c r="L446" s="474"/>
      <c r="M446" s="471"/>
      <c r="N446" s="419"/>
      <c r="O446" s="541"/>
      <c r="P446" s="419"/>
      <c r="Q446" s="419"/>
      <c r="S446" s="414" t="str">
        <f t="shared" si="40"/>
        <v>ILUMINAÇÃO</v>
      </c>
    </row>
    <row r="447" spans="1:19" s="344" customFormat="1" ht="25.5">
      <c r="A447" s="49" t="s">
        <v>249</v>
      </c>
      <c r="B447" s="50" t="str">
        <f>'[3]Plan Tron'!B97</f>
        <v xml:space="preserve">73953/006 </v>
      </c>
      <c r="C447" s="49" t="str">
        <f>'[3]Plan Tron'!C97</f>
        <v>SINAPI</v>
      </c>
      <c r="D447" s="295" t="str">
        <f>'[3]Plan Tron'!D97</f>
        <v>LUMINARIA TIPO CALHA, DE SOBREPOR, COM REATOR DE PARTIDA RAPIDA E LAMPADA FLUORESCENTE 2X40W, COMPLETA, FORNECIMENTO E INSTALACAO</v>
      </c>
      <c r="E447" s="77" t="str">
        <f>'[3]Plan Tron'!E97</f>
        <v>UN.</v>
      </c>
      <c r="F447" s="51">
        <v>8</v>
      </c>
      <c r="G447" s="10">
        <v>73.319999999999993</v>
      </c>
      <c r="H447" s="10">
        <f>'[3]Plan Tron'!F97</f>
        <v>95.01</v>
      </c>
      <c r="I447" s="10">
        <v>26.44</v>
      </c>
      <c r="J447" s="10">
        <f t="shared" si="43"/>
        <v>120.13</v>
      </c>
      <c r="K447" s="383">
        <v>0</v>
      </c>
      <c r="L447" s="474">
        <f>F447-K447</f>
        <v>8</v>
      </c>
      <c r="M447" s="471">
        <f t="shared" si="42"/>
        <v>961.04</v>
      </c>
      <c r="N447" s="405"/>
      <c r="O447" s="541"/>
      <c r="P447" s="405"/>
      <c r="Q447" s="405"/>
      <c r="S447" s="344" t="str">
        <f t="shared" si="40"/>
        <v>LUMINARIA TIPO CALHA, DE SOBREPOR, COM REATOR DE PARTIDA RAPIDA E LAMPADA FLUORESCENTE 2X40W, COMPLETA, FORNECIMENTO E INSTALACAO</v>
      </c>
    </row>
    <row r="448" spans="1:19">
      <c r="A448" s="49"/>
      <c r="B448" s="50"/>
      <c r="C448" s="49"/>
      <c r="D448" s="65"/>
      <c r="E448" s="18"/>
      <c r="F448" s="51"/>
      <c r="G448" s="316"/>
      <c r="H448" s="20"/>
      <c r="I448" s="20"/>
      <c r="J448" s="20"/>
      <c r="K448" s="65"/>
      <c r="L448" s="474"/>
      <c r="M448" s="472"/>
      <c r="N448" s="405"/>
      <c r="O448" s="541"/>
      <c r="P448" s="405"/>
      <c r="Q448" s="405"/>
    </row>
    <row r="449" spans="1:19">
      <c r="A449" s="49"/>
      <c r="B449" s="50"/>
      <c r="C449" s="49"/>
      <c r="D449" s="65"/>
      <c r="E449" s="18"/>
      <c r="F449" s="51"/>
      <c r="G449" s="316"/>
      <c r="H449" s="20"/>
      <c r="I449" s="20"/>
      <c r="J449" s="20"/>
      <c r="K449" s="65"/>
      <c r="L449" s="474"/>
      <c r="M449" s="472"/>
      <c r="N449" s="405"/>
      <c r="O449" s="541"/>
      <c r="P449" s="405"/>
      <c r="Q449" s="405"/>
    </row>
    <row r="450" spans="1:19">
      <c r="A450" s="49"/>
      <c r="B450" s="50"/>
      <c r="C450" s="49"/>
      <c r="D450" s="514" t="s">
        <v>2356</v>
      </c>
      <c r="E450" s="18"/>
      <c r="F450" s="51"/>
      <c r="G450" s="316"/>
      <c r="H450" s="20"/>
      <c r="I450" s="20"/>
      <c r="J450" s="20"/>
      <c r="K450" s="514"/>
      <c r="L450" s="508"/>
      <c r="M450" s="505">
        <f>SUM(M436:M448)</f>
        <v>23949.119999999995</v>
      </c>
      <c r="N450" s="405"/>
      <c r="O450" s="541"/>
      <c r="P450" s="405"/>
      <c r="Q450" s="405"/>
      <c r="S450" s="344" t="str">
        <f>UPPER(K450)</f>
        <v/>
      </c>
    </row>
    <row r="451" spans="1:19">
      <c r="A451" s="49"/>
      <c r="B451" s="50"/>
      <c r="C451" s="49"/>
      <c r="D451" s="169" t="s">
        <v>76</v>
      </c>
      <c r="E451" s="18" t="s">
        <v>76</v>
      </c>
      <c r="F451" s="51"/>
      <c r="G451" s="316"/>
      <c r="H451" s="20"/>
      <c r="I451" s="20"/>
      <c r="J451" s="20"/>
      <c r="K451" s="383"/>
      <c r="L451" s="474"/>
      <c r="M451" s="471"/>
      <c r="N451" s="405"/>
      <c r="O451" s="541"/>
      <c r="P451" s="405"/>
      <c r="Q451" s="405"/>
      <c r="S451" s="344" t="str">
        <f t="shared" ref="S451:S459" si="44">UPPER(D451)</f>
        <v/>
      </c>
    </row>
    <row r="452" spans="1:19" s="450" customFormat="1">
      <c r="A452" s="445">
        <v>14</v>
      </c>
      <c r="B452" s="446"/>
      <c r="C452" s="447"/>
      <c r="D452" s="448" t="s">
        <v>1962</v>
      </c>
      <c r="E452" s="453" t="s">
        <v>76</v>
      </c>
      <c r="F452" s="446"/>
      <c r="G452" s="446"/>
      <c r="H452" s="446"/>
      <c r="I452" s="446"/>
      <c r="J452" s="446"/>
      <c r="K452" s="473"/>
      <c r="L452" s="478"/>
      <c r="M452" s="479"/>
      <c r="N452" s="454"/>
      <c r="O452" s="541"/>
      <c r="P452" s="454"/>
      <c r="Q452" s="454"/>
      <c r="S452" s="450" t="str">
        <f t="shared" si="44"/>
        <v xml:space="preserve">RESERVATÓRIO PULMÃO </v>
      </c>
    </row>
    <row r="453" spans="1:19" s="450" customFormat="1">
      <c r="A453" s="445" t="s">
        <v>64</v>
      </c>
      <c r="B453" s="446"/>
      <c r="C453" s="447"/>
      <c r="D453" s="448" t="s">
        <v>1962</v>
      </c>
      <c r="E453" s="453" t="s">
        <v>76</v>
      </c>
      <c r="F453" s="446"/>
      <c r="G453" s="446"/>
      <c r="H453" s="446"/>
      <c r="I453" s="446"/>
      <c r="J453" s="446"/>
      <c r="K453" s="473"/>
      <c r="L453" s="478"/>
      <c r="M453" s="479"/>
      <c r="N453" s="454"/>
      <c r="O453" s="541"/>
      <c r="P453" s="454"/>
      <c r="Q453" s="454"/>
      <c r="S453" s="450" t="str">
        <f t="shared" si="44"/>
        <v xml:space="preserve">RESERVATÓRIO PULMÃO </v>
      </c>
    </row>
    <row r="454" spans="1:19" s="344" customFormat="1">
      <c r="A454" s="45">
        <v>1</v>
      </c>
      <c r="B454" s="17"/>
      <c r="C454" s="45"/>
      <c r="D454" s="53" t="s">
        <v>2031</v>
      </c>
      <c r="E454" s="7" t="s">
        <v>76</v>
      </c>
      <c r="F454" s="21"/>
      <c r="G454" s="9"/>
      <c r="H454" s="9"/>
      <c r="I454" s="9"/>
      <c r="J454" s="9"/>
      <c r="K454" s="383"/>
      <c r="L454" s="474"/>
      <c r="M454" s="471"/>
      <c r="N454" s="405"/>
      <c r="O454" s="541"/>
      <c r="P454" s="405"/>
      <c r="Q454" s="405"/>
      <c r="S454" s="344" t="str">
        <f t="shared" si="44"/>
        <v>SERVIÇOS TÉCNICOS</v>
      </c>
    </row>
    <row r="455" spans="1:19" s="414" customFormat="1">
      <c r="A455" s="410" t="s">
        <v>20</v>
      </c>
      <c r="B455" s="411"/>
      <c r="C455" s="410"/>
      <c r="D455" s="429" t="s">
        <v>2032</v>
      </c>
      <c r="E455" s="617" t="s">
        <v>76</v>
      </c>
      <c r="F455" s="422"/>
      <c r="G455" s="412"/>
      <c r="H455" s="412"/>
      <c r="I455" s="412"/>
      <c r="J455" s="412"/>
      <c r="K455" s="498"/>
      <c r="L455" s="474"/>
      <c r="M455" s="471"/>
      <c r="N455" s="419"/>
      <c r="O455" s="541"/>
      <c r="P455" s="419"/>
      <c r="Q455" s="419"/>
      <c r="S455" s="414" t="str">
        <f t="shared" si="44"/>
        <v>LOCAÇÃO</v>
      </c>
    </row>
    <row r="456" spans="1:19" s="344" customFormat="1">
      <c r="A456" s="49" t="s">
        <v>153</v>
      </c>
      <c r="B456" s="37">
        <f>'[3]Plan Tron'!B98</f>
        <v>73679</v>
      </c>
      <c r="C456" s="49" t="str">
        <f>'[3]Plan Tron'!C98</f>
        <v>SINAPI</v>
      </c>
      <c r="D456" s="130" t="str">
        <f>'[3]Plan Tron'!D98</f>
        <v>LOCAÇÃO DE ADUTORAS, COLETORES TRONCO E INTERCEPTORES - ATÉ DN 500 MM</v>
      </c>
      <c r="E456" s="77" t="str">
        <f>'[3]Plan Tron'!E98</f>
        <v>M</v>
      </c>
      <c r="F456" s="21">
        <v>7</v>
      </c>
      <c r="G456" s="9">
        <v>0.83</v>
      </c>
      <c r="H456" s="9">
        <f>'[3]Plan Tron'!F98</f>
        <v>1.6</v>
      </c>
      <c r="I456" s="9">
        <v>26.44</v>
      </c>
      <c r="J456" s="9">
        <f>ROUND(H456*(I456/100+1),2)</f>
        <v>2.02</v>
      </c>
      <c r="K456" s="383">
        <v>0</v>
      </c>
      <c r="L456" s="474">
        <f>F456-K456</f>
        <v>7</v>
      </c>
      <c r="M456" s="471">
        <f t="shared" ref="M456:M516" si="45">ROUND(L456*J456,2)</f>
        <v>14.14</v>
      </c>
      <c r="N456" s="405"/>
      <c r="O456" s="541"/>
      <c r="P456" s="405"/>
      <c r="Q456" s="405"/>
      <c r="S456" s="344" t="str">
        <f t="shared" si="44"/>
        <v>LOCAÇÃO DE ADUTORAS, COLETORES TRONCO E INTERCEPTORES - ATÉ DN 500 MM</v>
      </c>
    </row>
    <row r="457" spans="1:19" s="414" customFormat="1">
      <c r="A457" s="410" t="s">
        <v>19</v>
      </c>
      <c r="B457" s="656"/>
      <c r="C457" s="410"/>
      <c r="D457" s="429" t="s">
        <v>2153</v>
      </c>
      <c r="E457" s="617" t="s">
        <v>76</v>
      </c>
      <c r="F457" s="422"/>
      <c r="G457" s="412"/>
      <c r="H457" s="412"/>
      <c r="I457" s="412"/>
      <c r="J457" s="412"/>
      <c r="K457" s="498"/>
      <c r="L457" s="474"/>
      <c r="M457" s="471"/>
      <c r="N457" s="419"/>
      <c r="O457" s="541"/>
      <c r="P457" s="419"/>
      <c r="Q457" s="419"/>
      <c r="S457" s="414" t="str">
        <f t="shared" si="44"/>
        <v>ACESSO/PASSADIÇOS</v>
      </c>
    </row>
    <row r="458" spans="1:19" s="414" customFormat="1">
      <c r="A458" s="410" t="s">
        <v>147</v>
      </c>
      <c r="B458" s="653"/>
      <c r="C458" s="410"/>
      <c r="D458" s="429" t="s">
        <v>2154</v>
      </c>
      <c r="E458" s="617" t="s">
        <v>76</v>
      </c>
      <c r="F458" s="422"/>
      <c r="G458" s="412"/>
      <c r="H458" s="412"/>
      <c r="I458" s="412"/>
      <c r="J458" s="412"/>
      <c r="K458" s="498"/>
      <c r="L458" s="474"/>
      <c r="M458" s="471"/>
      <c r="N458" s="419"/>
      <c r="O458" s="541"/>
      <c r="P458" s="419"/>
      <c r="Q458" s="419"/>
      <c r="S458" s="414" t="str">
        <f t="shared" si="44"/>
        <v>PASSADIÇOS E TRAVESSIAS - MONTAGEM, MANUTENÇÃO E  REMOÇÃO.</v>
      </c>
    </row>
    <row r="459" spans="1:19" s="344" customFormat="1">
      <c r="A459" s="49" t="s">
        <v>146</v>
      </c>
      <c r="B459" s="16" t="str">
        <f>'[3]Plan Tron'!B99</f>
        <v xml:space="preserve">74219/001 </v>
      </c>
      <c r="C459" s="49" t="str">
        <f>'[3]Plan Tron'!C99</f>
        <v>SINAPI</v>
      </c>
      <c r="D459" s="130" t="str">
        <f>'[3]Plan Tron'!D99</f>
        <v>PASSADICOS COM TABUAS DE MADEIRA PARA PEDESTRES</v>
      </c>
      <c r="E459" s="77" t="str">
        <f>'[3]Plan Tron'!E99</f>
        <v>M²</v>
      </c>
      <c r="F459" s="21">
        <v>5.4</v>
      </c>
      <c r="G459" s="9">
        <v>38.39</v>
      </c>
      <c r="H459" s="9">
        <f>'[3]Plan Tron'!F99</f>
        <v>51.52</v>
      </c>
      <c r="I459" s="9">
        <v>26.44</v>
      </c>
      <c r="J459" s="9">
        <f>ROUND(H459*(I459/100+1),2)</f>
        <v>65.14</v>
      </c>
      <c r="K459" s="383">
        <v>0</v>
      </c>
      <c r="L459" s="474">
        <f>F459-K459</f>
        <v>5.4</v>
      </c>
      <c r="M459" s="471">
        <f t="shared" si="45"/>
        <v>351.76</v>
      </c>
      <c r="N459" s="405"/>
      <c r="O459" s="541"/>
      <c r="P459" s="405"/>
      <c r="Q459" s="405"/>
      <c r="S459" s="344" t="str">
        <f t="shared" si="44"/>
        <v>PASSADICOS COM TABUAS DE MADEIRA PARA PEDESTRES</v>
      </c>
    </row>
    <row r="460" spans="1:19" s="344" customFormat="1">
      <c r="A460" s="49"/>
      <c r="B460" s="14"/>
      <c r="C460" s="49"/>
      <c r="D460" s="17"/>
      <c r="E460" s="7"/>
      <c r="F460" s="21"/>
      <c r="G460" s="9"/>
      <c r="H460" s="9"/>
      <c r="I460" s="9"/>
      <c r="J460" s="9"/>
      <c r="K460" s="17"/>
      <c r="L460" s="474"/>
      <c r="M460" s="471"/>
      <c r="N460" s="405"/>
      <c r="O460" s="541"/>
      <c r="P460" s="405"/>
      <c r="Q460" s="405"/>
    </row>
    <row r="461" spans="1:19" s="344" customFormat="1">
      <c r="A461" s="49"/>
      <c r="B461" s="11"/>
      <c r="C461" s="49"/>
      <c r="D461" s="130" t="s">
        <v>76</v>
      </c>
      <c r="E461" s="7" t="s">
        <v>76</v>
      </c>
      <c r="F461" s="21"/>
      <c r="G461" s="9"/>
      <c r="H461" s="9"/>
      <c r="I461" s="9"/>
      <c r="J461" s="9"/>
      <c r="K461" s="383"/>
      <c r="L461" s="474"/>
      <c r="M461" s="471"/>
      <c r="N461" s="405"/>
      <c r="O461" s="541"/>
      <c r="P461" s="405"/>
      <c r="Q461" s="405"/>
      <c r="S461" s="344" t="str">
        <f t="shared" ref="S461:S479" si="46">UPPER(D461)</f>
        <v/>
      </c>
    </row>
    <row r="462" spans="1:19" s="344" customFormat="1">
      <c r="A462" s="45">
        <v>2</v>
      </c>
      <c r="B462" s="25"/>
      <c r="C462" s="45"/>
      <c r="D462" s="399" t="s">
        <v>2155</v>
      </c>
      <c r="E462" s="24" t="s">
        <v>76</v>
      </c>
      <c r="F462" s="21"/>
      <c r="G462" s="9"/>
      <c r="H462" s="9"/>
      <c r="I462" s="9"/>
      <c r="J462" s="9"/>
      <c r="K462" s="383"/>
      <c r="L462" s="474"/>
      <c r="M462" s="471"/>
      <c r="N462" s="405"/>
      <c r="O462" s="541"/>
      <c r="P462" s="405"/>
      <c r="Q462" s="405"/>
      <c r="S462" s="344" t="str">
        <f t="shared" si="46"/>
        <v>MOVIMENTO DE TERRA  PARA TUBULAÇÃO DE DESCARGA</v>
      </c>
    </row>
    <row r="463" spans="1:19" s="414" customFormat="1">
      <c r="A463" s="410" t="s">
        <v>9</v>
      </c>
      <c r="B463" s="411"/>
      <c r="C463" s="410"/>
      <c r="D463" s="434" t="s">
        <v>2041</v>
      </c>
      <c r="E463" s="424" t="s">
        <v>76</v>
      </c>
      <c r="F463" s="422"/>
      <c r="G463" s="412"/>
      <c r="H463" s="412"/>
      <c r="I463" s="412"/>
      <c r="J463" s="412"/>
      <c r="K463" s="498"/>
      <c r="L463" s="474"/>
      <c r="M463" s="471"/>
      <c r="N463" s="419"/>
      <c r="O463" s="541"/>
      <c r="P463" s="419"/>
      <c r="Q463" s="419"/>
      <c r="S463" s="414" t="str">
        <f t="shared" si="46"/>
        <v>ESCAVAÇÃO DE VALAS</v>
      </c>
    </row>
    <row r="464" spans="1:19" s="414" customFormat="1">
      <c r="A464" s="410" t="s">
        <v>348</v>
      </c>
      <c r="B464" s="411"/>
      <c r="C464" s="410"/>
      <c r="D464" s="434" t="s">
        <v>2043</v>
      </c>
      <c r="E464" s="424" t="s">
        <v>76</v>
      </c>
      <c r="F464" s="422"/>
      <c r="G464" s="412"/>
      <c r="H464" s="412"/>
      <c r="I464" s="412"/>
      <c r="J464" s="412"/>
      <c r="K464" s="498"/>
      <c r="L464" s="474"/>
      <c r="M464" s="471"/>
      <c r="N464" s="419"/>
      <c r="O464" s="541"/>
      <c r="P464" s="419"/>
      <c r="Q464" s="419"/>
      <c r="S464" s="414" t="str">
        <f t="shared" si="46"/>
        <v>ESCAVAÇÃO MECÂNICA DE VALAS</v>
      </c>
    </row>
    <row r="465" spans="1:19" s="344" customFormat="1">
      <c r="A465" s="49" t="s">
        <v>417</v>
      </c>
      <c r="B465" s="49">
        <f>'[3]Plan Tron'!B7</f>
        <v>60202</v>
      </c>
      <c r="C465" s="49" t="str">
        <f>'[3]Plan Tron'!C7</f>
        <v>CPOS</v>
      </c>
      <c r="D465" s="645" t="str">
        <f>'[3]Plan Tron'!D7</f>
        <v xml:space="preserve">ESCAVAÇÃO MANUAL EM SOLO DE 1ª E 2ª CATEGORIA EM VALA OU CAVA ATÉ 1,50M </v>
      </c>
      <c r="E465" s="77" t="str">
        <f>'[3]Plan Tron'!E7</f>
        <v>M³</v>
      </c>
      <c r="F465" s="21">
        <v>17.850000000000001</v>
      </c>
      <c r="G465" s="9">
        <v>6.98</v>
      </c>
      <c r="H465" s="9">
        <f>'[3]Plan Tron'!F7</f>
        <v>34.020000000000003</v>
      </c>
      <c r="I465" s="9">
        <v>26.44</v>
      </c>
      <c r="J465" s="9">
        <f>ROUND(H465*(I465/100+1),2)</f>
        <v>43.01</v>
      </c>
      <c r="K465" s="383">
        <v>0</v>
      </c>
      <c r="L465" s="474">
        <f>F465-K465</f>
        <v>17.850000000000001</v>
      </c>
      <c r="M465" s="471">
        <f t="shared" si="45"/>
        <v>767.73</v>
      </c>
      <c r="N465" s="405"/>
      <c r="O465" s="541"/>
      <c r="P465" s="405"/>
      <c r="Q465" s="405"/>
      <c r="S465" s="344" t="str">
        <f t="shared" si="46"/>
        <v xml:space="preserve">ESCAVAÇÃO MANUAL EM SOLO DE 1ª E 2ª CATEGORIA EM VALA OU CAVA ATÉ 1,50M </v>
      </c>
    </row>
    <row r="466" spans="1:19" s="344" customFormat="1">
      <c r="A466" s="49" t="s">
        <v>809</v>
      </c>
      <c r="B466" s="49">
        <f>'[3]Plan Tron'!B8</f>
        <v>60204</v>
      </c>
      <c r="C466" s="49" t="str">
        <f>'[3]Plan Tron'!C8</f>
        <v>CPOS</v>
      </c>
      <c r="D466" s="645" t="str">
        <f>'[3]Plan Tron'!D8</f>
        <v>ESCAVAÇÃO MANUAL EM SOLO DE 1ª E 2ª CATEGORIA EM VALA OU CAVA DE 1,5M A 3M</v>
      </c>
      <c r="E466" s="77" t="str">
        <f>'[3]Plan Tron'!E8</f>
        <v>M³</v>
      </c>
      <c r="F466" s="21">
        <v>17.850000000000001</v>
      </c>
      <c r="G466" s="9">
        <f>ROUND(5.57,2)</f>
        <v>5.57</v>
      </c>
      <c r="H466" s="9">
        <f>'[3]Plan Tron'!F8</f>
        <v>44</v>
      </c>
      <c r="I466" s="9">
        <v>26.44</v>
      </c>
      <c r="J466" s="9">
        <f>ROUND(H466*(I466/100+1),2)</f>
        <v>55.63</v>
      </c>
      <c r="K466" s="383">
        <v>0</v>
      </c>
      <c r="L466" s="474">
        <f>F466-K466</f>
        <v>17.850000000000001</v>
      </c>
      <c r="M466" s="471">
        <f t="shared" si="45"/>
        <v>993</v>
      </c>
      <c r="N466" s="405"/>
      <c r="O466" s="541"/>
      <c r="P466" s="405"/>
      <c r="Q466" s="405"/>
      <c r="S466" s="344" t="str">
        <f t="shared" si="46"/>
        <v>ESCAVAÇÃO MANUAL EM SOLO DE 1ª E 2ª CATEGORIA EM VALA OU CAVA DE 1,5M A 3M</v>
      </c>
    </row>
    <row r="467" spans="1:19" s="344" customFormat="1" ht="25.5">
      <c r="A467" s="49" t="s">
        <v>808</v>
      </c>
      <c r="B467" s="49" t="str">
        <f>'[3]Plan Tron'!B6</f>
        <v xml:space="preserve">74151/001 </v>
      </c>
      <c r="C467" s="49" t="str">
        <f>'[3]Plan Tron'!C6</f>
        <v>SINAPI</v>
      </c>
      <c r="D467" s="614" t="str">
        <f>'[3]Plan Tron'!D6</f>
        <v>ESCAVACAO E CARGA MATERIAL 1A CATEGORIA, UTILIZANDO TRATOR DE ESTEIRAS DE 110 A 160HP COM LAMINA, PESO OPERACIONAL * 13T E PA CARREGADEIRA COM 170 HP.</v>
      </c>
      <c r="E467" s="49" t="str">
        <f>'[3]Plan Tron'!E6</f>
        <v>M³</v>
      </c>
      <c r="F467" s="21">
        <v>0.89</v>
      </c>
      <c r="G467" s="9">
        <f>ROUND(8.22,2)</f>
        <v>8.2200000000000006</v>
      </c>
      <c r="H467" s="9">
        <f>'[3]Plan Tron'!F6</f>
        <v>3.37</v>
      </c>
      <c r="I467" s="9">
        <v>26.44</v>
      </c>
      <c r="J467" s="9">
        <f>ROUND(H467*(I467/100+1),2)</f>
        <v>4.26</v>
      </c>
      <c r="K467" s="383">
        <v>0</v>
      </c>
      <c r="L467" s="474">
        <f>F467-K467</f>
        <v>0.89</v>
      </c>
      <c r="M467" s="471">
        <f t="shared" si="45"/>
        <v>3.79</v>
      </c>
      <c r="N467" s="405"/>
      <c r="O467" s="541"/>
      <c r="P467" s="405"/>
      <c r="Q467" s="405"/>
      <c r="S467" s="344" t="str">
        <f t="shared" si="46"/>
        <v>ESCAVACAO E CARGA MATERIAL 1A CATEGORIA, UTILIZANDO TRATOR DE ESTEIRAS DE 110 A 160HP COM LAMINA, PESO OPERACIONAL * 13T E PA CARREGADEIRA COM 170 HP.</v>
      </c>
    </row>
    <row r="468" spans="1:19" s="414" customFormat="1">
      <c r="A468" s="410" t="s">
        <v>8</v>
      </c>
      <c r="B468" s="411"/>
      <c r="C468" s="410"/>
      <c r="D468" s="434" t="s">
        <v>2111</v>
      </c>
      <c r="E468" s="424" t="s">
        <v>76</v>
      </c>
      <c r="F468" s="422"/>
      <c r="G468" s="412"/>
      <c r="H468" s="412"/>
      <c r="I468" s="412"/>
      <c r="J468" s="412"/>
      <c r="K468" s="498"/>
      <c r="L468" s="474"/>
      <c r="M468" s="471"/>
      <c r="N468" s="419"/>
      <c r="O468" s="541"/>
      <c r="P468" s="419"/>
      <c r="Q468" s="419"/>
      <c r="S468" s="414" t="str">
        <f t="shared" si="46"/>
        <v>ATERRO / REATERRO DE VALAS COM OU S/ COMPACTAÇÃO.</v>
      </c>
    </row>
    <row r="469" spans="1:19" s="414" customFormat="1">
      <c r="A469" s="410" t="s">
        <v>317</v>
      </c>
      <c r="B469" s="411"/>
      <c r="C469" s="410"/>
      <c r="D469" s="434" t="s">
        <v>2045</v>
      </c>
      <c r="E469" s="424" t="s">
        <v>76</v>
      </c>
      <c r="F469" s="422"/>
      <c r="G469" s="412"/>
      <c r="H469" s="412"/>
      <c r="I469" s="412"/>
      <c r="J469" s="412"/>
      <c r="K469" s="498"/>
      <c r="L469" s="474"/>
      <c r="M469" s="471"/>
      <c r="N469" s="419"/>
      <c r="O469" s="541"/>
      <c r="P469" s="419"/>
      <c r="Q469" s="419"/>
      <c r="S469" s="414" t="str">
        <f t="shared" si="46"/>
        <v>REATERRO DE VALAS</v>
      </c>
    </row>
    <row r="470" spans="1:19" s="344" customFormat="1">
      <c r="A470" s="49" t="s">
        <v>318</v>
      </c>
      <c r="B470" s="49" t="str">
        <f>'[3]Plan Tron'!B12</f>
        <v xml:space="preserve">73964/006 </v>
      </c>
      <c r="C470" s="49" t="str">
        <f>'[3]Plan Tron'!C12</f>
        <v>SINAPI</v>
      </c>
      <c r="D470" s="612" t="str">
        <f>'[3]Plan Tron'!D12</f>
        <v xml:space="preserve">REATERRO DE VALA COM COMPACTAÇÃO MANUAL </v>
      </c>
      <c r="E470" s="49" t="str">
        <f>'[3]Plan Tron'!E12</f>
        <v>M³</v>
      </c>
      <c r="F470" s="21">
        <v>9.2899999999999991</v>
      </c>
      <c r="G470" s="9">
        <v>20.67</v>
      </c>
      <c r="H470" s="9">
        <f>'[3]Plan Tron'!F12</f>
        <v>49.62</v>
      </c>
      <c r="I470" s="9">
        <v>26.44</v>
      </c>
      <c r="J470" s="9">
        <f>ROUND(H470*(I470/100+1),2)</f>
        <v>62.74</v>
      </c>
      <c r="K470" s="383">
        <v>0</v>
      </c>
      <c r="L470" s="474">
        <f>F470-K470</f>
        <v>9.2899999999999991</v>
      </c>
      <c r="M470" s="471">
        <f t="shared" si="45"/>
        <v>582.85</v>
      </c>
      <c r="N470" s="405"/>
      <c r="O470" s="541"/>
      <c r="P470" s="405"/>
      <c r="Q470" s="405"/>
      <c r="S470" s="344" t="str">
        <f t="shared" si="46"/>
        <v xml:space="preserve">REATERRO DE VALA COM COMPACTAÇÃO MANUAL </v>
      </c>
    </row>
    <row r="471" spans="1:19" s="344" customFormat="1" ht="38.25">
      <c r="A471" s="49" t="s">
        <v>807</v>
      </c>
      <c r="B471" s="49">
        <f>'[3]Plan Tron'!B101</f>
        <v>93379</v>
      </c>
      <c r="C471" s="49" t="str">
        <f>'[3]Plan Tron'!C101</f>
        <v>SINAPI</v>
      </c>
      <c r="D471" s="84" t="str">
        <f>'[3]Plan Tron'!D101</f>
        <v>REATERRO MECANIZADO DE VALA COM RETROESCAVADEIRA (CAPACIDADE DA CAÇAMBA DA RETRO: 0,26 M³ /POTÊNCIA: 88 HP), LARGURA DE 0,8 A 1,5 M, PROFUNDIDADE ATÉ 1,5 M, COM SOLO (SEM SUBSTITUIÇÃO) DE 1ª CATEGORIA EM LOCAIS COM BAIXO NÍVEL DE INTERFERÊNCIA. AF_04/2016</v>
      </c>
      <c r="E471" s="24" t="str">
        <f>'[3]Plan Tron'!E101</f>
        <v>M³</v>
      </c>
      <c r="F471" s="21">
        <v>21.68</v>
      </c>
      <c r="G471" s="9">
        <v>7.8</v>
      </c>
      <c r="H471" s="9">
        <f>'[3]Plan Tron'!F101</f>
        <v>13.36</v>
      </c>
      <c r="I471" s="9">
        <v>26.44</v>
      </c>
      <c r="J471" s="9">
        <f t="shared" ref="J471:J479" si="47">ROUND(H471*(I471/100+1),2)</f>
        <v>16.89</v>
      </c>
      <c r="K471" s="383">
        <v>0</v>
      </c>
      <c r="L471" s="474">
        <f>F471-K471</f>
        <v>21.68</v>
      </c>
      <c r="M471" s="471">
        <f t="shared" si="45"/>
        <v>366.18</v>
      </c>
      <c r="N471" s="405"/>
      <c r="O471" s="541"/>
      <c r="P471" s="405"/>
      <c r="Q471" s="405"/>
      <c r="S471" s="344" t="str">
        <f t="shared" si="46"/>
        <v>REATERRO MECANIZADO DE VALA COM RETROESCAVADEIRA (CAPACIDADE DA CAÇAMBA DA RETRO: 0,26 M³ /POTÊNCIA: 88 HP), LARGURA DE 0,8 A 1,5 M, PROFUNDIDADE ATÉ 1,5 M, COM SOLO (SEM SUBSTITUIÇÃO) DE 1ª CATEGORIA EM LOCAIS COM BAIXO NÍVEL DE INTERFERÊNCIA. AF_04/2016</v>
      </c>
    </row>
    <row r="472" spans="1:19" s="414" customFormat="1">
      <c r="A472" s="410" t="s">
        <v>7</v>
      </c>
      <c r="B472" s="411"/>
      <c r="C472" s="410"/>
      <c r="D472" s="434" t="s">
        <v>2156</v>
      </c>
      <c r="E472" s="424" t="s">
        <v>76</v>
      </c>
      <c r="F472" s="422"/>
      <c r="G472" s="412"/>
      <c r="H472" s="412"/>
      <c r="I472" s="412"/>
      <c r="J472" s="9"/>
      <c r="K472" s="498"/>
      <c r="L472" s="474"/>
      <c r="M472" s="471"/>
      <c r="N472" s="419"/>
      <c r="O472" s="541"/>
      <c r="P472" s="419"/>
      <c r="Q472" s="419"/>
      <c r="S472" s="414" t="str">
        <f t="shared" si="46"/>
        <v>FORNECIMENTO DE MATERIAL C/ OU S/ CARGA, DESCARGA E TRANSPORTE.</v>
      </c>
    </row>
    <row r="473" spans="1:19" s="344" customFormat="1">
      <c r="A473" s="49" t="s">
        <v>314</v>
      </c>
      <c r="B473" s="49">
        <f>'[3]Plan Tron'!B18</f>
        <v>6514</v>
      </c>
      <c r="C473" s="49" t="str">
        <f>'[3]Plan Tron'!C18</f>
        <v>SINAPI</v>
      </c>
      <c r="D473" s="612" t="str">
        <f>'[3]Plan Tron'!D18</f>
        <v xml:space="preserve">FORNECIMENTO E LANCAMENTO DE BRITA N. 4 </v>
      </c>
      <c r="E473" s="49" t="str">
        <f>'[3]Plan Tron'!E18</f>
        <v>M³</v>
      </c>
      <c r="F473" s="21">
        <v>1.19</v>
      </c>
      <c r="G473" s="9">
        <v>67.08</v>
      </c>
      <c r="H473" s="9">
        <f>'[3]Plan Tron'!F18</f>
        <v>88.38</v>
      </c>
      <c r="I473" s="9">
        <v>26.44</v>
      </c>
      <c r="J473" s="9">
        <f t="shared" si="47"/>
        <v>111.75</v>
      </c>
      <c r="K473" s="383">
        <v>0</v>
      </c>
      <c r="L473" s="474">
        <f>F473-K473</f>
        <v>1.19</v>
      </c>
      <c r="M473" s="471">
        <f t="shared" si="45"/>
        <v>132.97999999999999</v>
      </c>
      <c r="N473" s="405"/>
      <c r="O473" s="541"/>
      <c r="P473" s="405"/>
      <c r="Q473" s="405"/>
      <c r="S473" s="344" t="str">
        <f t="shared" si="46"/>
        <v xml:space="preserve">FORNECIMENTO E LANCAMENTO DE BRITA N. 4 </v>
      </c>
    </row>
    <row r="474" spans="1:19" s="414" customFormat="1">
      <c r="A474" s="410" t="s">
        <v>6</v>
      </c>
      <c r="B474" s="411"/>
      <c r="C474" s="410"/>
      <c r="D474" s="434" t="s">
        <v>2100</v>
      </c>
      <c r="E474" s="424" t="s">
        <v>76</v>
      </c>
      <c r="F474" s="422"/>
      <c r="G474" s="412"/>
      <c r="H474" s="412"/>
      <c r="I474" s="412"/>
      <c r="J474" s="9"/>
      <c r="K474" s="498"/>
      <c r="L474" s="474"/>
      <c r="M474" s="471"/>
      <c r="N474" s="419"/>
      <c r="O474" s="541"/>
      <c r="P474" s="419"/>
      <c r="Q474" s="419"/>
      <c r="S474" s="414" t="str">
        <f t="shared" si="46"/>
        <v>COMPACTAÇÃO OU APILOAMENTO</v>
      </c>
    </row>
    <row r="475" spans="1:19" s="344" customFormat="1" ht="25.5">
      <c r="A475" s="49" t="s">
        <v>311</v>
      </c>
      <c r="B475" s="49">
        <f>'[3]Plan Tron'!B89</f>
        <v>94098</v>
      </c>
      <c r="C475" s="49" t="str">
        <f>'[3]Plan Tron'!C89</f>
        <v>SINAPI</v>
      </c>
      <c r="D475" s="614" t="str">
        <f>'[3]Plan Tron'!D89</f>
        <v>PREPARO DE FUNDO DE VALA COM LARGURA MENOR QUE 1,5 M, EM LOCAL COM NÍVEL ALTO DE INTERFERÊNCIA. AF_06/2016</v>
      </c>
      <c r="E475" s="49" t="str">
        <f>'[3]Plan Tron'!E89</f>
        <v>M²</v>
      </c>
      <c r="F475" s="21">
        <v>11.9</v>
      </c>
      <c r="G475" s="9">
        <v>3.24</v>
      </c>
      <c r="H475" s="9">
        <f>'[3]Plan Tron'!F89</f>
        <v>5.53</v>
      </c>
      <c r="I475" s="9">
        <v>26.44</v>
      </c>
      <c r="J475" s="9">
        <f t="shared" si="47"/>
        <v>6.99</v>
      </c>
      <c r="K475" s="383">
        <v>0</v>
      </c>
      <c r="L475" s="474">
        <f>F475-K475</f>
        <v>11.9</v>
      </c>
      <c r="M475" s="471">
        <f t="shared" si="45"/>
        <v>83.18</v>
      </c>
      <c r="N475" s="405"/>
      <c r="O475" s="541"/>
      <c r="P475" s="405"/>
      <c r="Q475" s="405"/>
      <c r="S475" s="344" t="str">
        <f t="shared" si="46"/>
        <v>PREPARO DE FUNDO DE VALA COM LARGURA MENOR QUE 1,5 M, EM LOCAL COM NÍVEL ALTO DE INTERFERÊNCIA. AF_06/2016</v>
      </c>
    </row>
    <row r="476" spans="1:19" s="344" customFormat="1">
      <c r="A476" s="49" t="s">
        <v>710</v>
      </c>
      <c r="B476" s="49">
        <f>'[3]Plan Tron'!B102</f>
        <v>79472</v>
      </c>
      <c r="C476" s="49" t="str">
        <f>'[3]Plan Tron'!C102</f>
        <v>SINAPI</v>
      </c>
      <c r="D476" s="84" t="str">
        <f>'[3]Plan Tron'!D102</f>
        <v xml:space="preserve">REGULARIZACAO DE SUPERFICIES EM TERRA COM MOTONIVELADORA </v>
      </c>
      <c r="E476" s="77" t="str">
        <f>'[3]Plan Tron'!E102</f>
        <v>M²</v>
      </c>
      <c r="F476" s="21">
        <v>25.9</v>
      </c>
      <c r="G476" s="9">
        <v>0.37</v>
      </c>
      <c r="H476" s="9">
        <f>'[3]Plan Tron'!F102</f>
        <v>0.46</v>
      </c>
      <c r="I476" s="9">
        <v>26.44</v>
      </c>
      <c r="J476" s="9">
        <f t="shared" si="47"/>
        <v>0.57999999999999996</v>
      </c>
      <c r="K476" s="383">
        <v>0</v>
      </c>
      <c r="L476" s="474">
        <f>F476-K476</f>
        <v>25.9</v>
      </c>
      <c r="M476" s="471">
        <f t="shared" si="45"/>
        <v>15.02</v>
      </c>
      <c r="N476" s="405"/>
      <c r="O476" s="541"/>
      <c r="P476" s="405"/>
      <c r="Q476" s="405"/>
      <c r="S476" s="344" t="str">
        <f t="shared" si="46"/>
        <v xml:space="preserve">REGULARIZACAO DE SUPERFICIES EM TERRA COM MOTONIVELADORA </v>
      </c>
    </row>
    <row r="477" spans="1:19" s="414" customFormat="1">
      <c r="A477" s="410" t="s">
        <v>5</v>
      </c>
      <c r="B477" s="411"/>
      <c r="C477" s="410"/>
      <c r="D477" s="434" t="s">
        <v>2046</v>
      </c>
      <c r="E477" s="424" t="s">
        <v>76</v>
      </c>
      <c r="F477" s="422"/>
      <c r="G477" s="412"/>
      <c r="H477" s="412"/>
      <c r="I477" s="412"/>
      <c r="J477" s="9"/>
      <c r="K477" s="498"/>
      <c r="L477" s="474"/>
      <c r="M477" s="471"/>
      <c r="N477" s="419"/>
      <c r="O477" s="541"/>
      <c r="P477" s="419"/>
      <c r="Q477" s="419"/>
      <c r="S477" s="414" t="str">
        <f t="shared" si="46"/>
        <v>CARGA, DESCARGA E/OU TRANSPORTE DE MATERIAIS</v>
      </c>
    </row>
    <row r="478" spans="1:19" s="344" customFormat="1">
      <c r="A478" s="49" t="s">
        <v>346</v>
      </c>
      <c r="B478" s="49">
        <f>'[3]Plan Tron'!B13</f>
        <v>72885</v>
      </c>
      <c r="C478" s="49" t="str">
        <f>'[3]Plan Tron'!C13</f>
        <v>SINAPI</v>
      </c>
      <c r="D478" s="612" t="str">
        <f>'[3]Plan Tron'!D13</f>
        <v>TRANSPORTE COMERCIAL COM CAMINHAO BASCULANTE 6 M3, RODOVIA EM LEITO NATURAL</v>
      </c>
      <c r="E478" s="49" t="str">
        <f>'[3]Plan Tron'!E13</f>
        <v>M³ X KM</v>
      </c>
      <c r="F478" s="21">
        <v>34.07</v>
      </c>
      <c r="G478" s="9">
        <v>1.03</v>
      </c>
      <c r="H478" s="9">
        <f>'[3]Plan Tron'!F13</f>
        <v>1.37</v>
      </c>
      <c r="I478" s="9">
        <v>26.44</v>
      </c>
      <c r="J478" s="9">
        <f t="shared" si="47"/>
        <v>1.73</v>
      </c>
      <c r="K478" s="383">
        <v>0</v>
      </c>
      <c r="L478" s="474">
        <f>F478-K478</f>
        <v>34.07</v>
      </c>
      <c r="M478" s="471">
        <f t="shared" si="45"/>
        <v>58.94</v>
      </c>
      <c r="N478" s="405"/>
      <c r="O478" s="541"/>
      <c r="P478" s="405"/>
      <c r="Q478" s="405"/>
      <c r="S478" s="344" t="str">
        <f t="shared" si="46"/>
        <v>TRANSPORTE COMERCIAL COM CAMINHAO BASCULANTE 6 M3, RODOVIA EM LEITO NATURAL</v>
      </c>
    </row>
    <row r="479" spans="1:19" s="344" customFormat="1" ht="25.5">
      <c r="A479" s="49" t="s">
        <v>706</v>
      </c>
      <c r="B479" s="49">
        <f>'[3]Plan Tron'!B14</f>
        <v>72888</v>
      </c>
      <c r="C479" s="49" t="str">
        <f>'[3]Plan Tron'!C14</f>
        <v>SINAPI</v>
      </c>
      <c r="D479" s="614" t="str">
        <f>'[3]Plan Tron'!D14</f>
        <v>CARGA, MANOBRAS E DESCARGA DE AREIA, BRITA, PEDRA DE MAO E SOLOS COM CAMINHAO BASCULANTE 6 M3 (DESCARGA LIVRE)</v>
      </c>
      <c r="E479" s="49" t="str">
        <f>'[3]Plan Tron'!E14</f>
        <v>M³</v>
      </c>
      <c r="F479" s="21">
        <v>6.81</v>
      </c>
      <c r="G479" s="9">
        <v>0.81</v>
      </c>
      <c r="H479" s="9">
        <f>'[3]Plan Tron'!F14</f>
        <v>0.96</v>
      </c>
      <c r="I479" s="9">
        <v>26.44</v>
      </c>
      <c r="J479" s="9">
        <f t="shared" si="47"/>
        <v>1.21</v>
      </c>
      <c r="K479" s="383">
        <v>0</v>
      </c>
      <c r="L479" s="474">
        <f>F479-K479</f>
        <v>6.81</v>
      </c>
      <c r="M479" s="471">
        <f t="shared" si="45"/>
        <v>8.24</v>
      </c>
      <c r="N479" s="405"/>
      <c r="O479" s="541"/>
      <c r="P479" s="405"/>
      <c r="Q479" s="405"/>
      <c r="S479" s="344" t="str">
        <f t="shared" si="46"/>
        <v>CARGA, MANOBRAS E DESCARGA DE AREIA, BRITA, PEDRA DE MAO E SOLOS COM CAMINHAO BASCULANTE 6 M3 (DESCARGA LIVRE)</v>
      </c>
    </row>
    <row r="480" spans="1:19" s="344" customFormat="1">
      <c r="A480" s="49"/>
      <c r="B480" s="17"/>
      <c r="C480" s="49"/>
      <c r="D480" s="17"/>
      <c r="E480" s="7"/>
      <c r="F480" s="10"/>
      <c r="G480" s="27"/>
      <c r="H480" s="27"/>
      <c r="I480" s="9"/>
      <c r="J480" s="9"/>
      <c r="K480" s="17"/>
      <c r="L480" s="474"/>
      <c r="M480" s="471"/>
      <c r="N480" s="405"/>
      <c r="O480" s="541"/>
      <c r="P480" s="405"/>
      <c r="Q480" s="405"/>
    </row>
    <row r="481" spans="1:19" s="344" customFormat="1">
      <c r="A481" s="49"/>
      <c r="B481" s="17"/>
      <c r="C481" s="49"/>
      <c r="D481" s="53" t="s">
        <v>76</v>
      </c>
      <c r="E481" s="7" t="s">
        <v>76</v>
      </c>
      <c r="F481" s="10"/>
      <c r="G481" s="27"/>
      <c r="H481" s="27"/>
      <c r="I481" s="9"/>
      <c r="J481" s="9"/>
      <c r="K481" s="383"/>
      <c r="L481" s="474"/>
      <c r="M481" s="471"/>
      <c r="N481" s="405"/>
      <c r="O481" s="541"/>
      <c r="P481" s="405"/>
      <c r="Q481" s="405"/>
      <c r="S481" s="344" t="str">
        <f>UPPER(D481)</f>
        <v/>
      </c>
    </row>
    <row r="482" spans="1:19" s="344" customFormat="1">
      <c r="A482" s="45">
        <v>3</v>
      </c>
      <c r="B482" s="14"/>
      <c r="C482" s="45"/>
      <c r="D482" s="53" t="s">
        <v>2157</v>
      </c>
      <c r="E482" s="7" t="s">
        <v>76</v>
      </c>
      <c r="F482" s="10"/>
      <c r="G482" s="9"/>
      <c r="H482" s="9"/>
      <c r="I482" s="9"/>
      <c r="J482" s="9"/>
      <c r="K482" s="383"/>
      <c r="L482" s="474"/>
      <c r="M482" s="471"/>
      <c r="N482" s="405"/>
      <c r="O482" s="541"/>
      <c r="P482" s="405"/>
      <c r="Q482" s="405"/>
      <c r="S482" s="344" t="str">
        <f>UPPER(D482)</f>
        <v>ESCORAMENTO</v>
      </c>
    </row>
    <row r="483" spans="1:19" s="414" customFormat="1">
      <c r="A483" s="410" t="s">
        <v>144</v>
      </c>
      <c r="B483" s="646"/>
      <c r="C483" s="410"/>
      <c r="D483" s="647" t="s">
        <v>2158</v>
      </c>
      <c r="E483" s="617" t="s">
        <v>76</v>
      </c>
      <c r="F483" s="413"/>
      <c r="G483" s="412"/>
      <c r="H483" s="412"/>
      <c r="I483" s="412"/>
      <c r="J483" s="412"/>
      <c r="K483" s="498"/>
      <c r="L483" s="474"/>
      <c r="M483" s="471"/>
      <c r="N483" s="419"/>
      <c r="O483" s="541"/>
      <c r="P483" s="419"/>
      <c r="Q483" s="419"/>
      <c r="S483" s="414" t="str">
        <f>UPPER(D483)</f>
        <v>ESCORAMENTO DE MADEIRA EM VALAS</v>
      </c>
    </row>
    <row r="484" spans="1:19" s="344" customFormat="1">
      <c r="A484" s="49" t="s">
        <v>143</v>
      </c>
      <c r="B484" s="49" t="str">
        <f>'[3]Plan Tron'!B66</f>
        <v xml:space="preserve">080202 </v>
      </c>
      <c r="C484" s="49" t="str">
        <f>'[3]Plan Tron'!C66</f>
        <v>CPOS</v>
      </c>
      <c r="D484" s="612" t="str">
        <f>'[3]Plan Tron'!D66</f>
        <v>CIMBRAMENTO EM MADEIRA COM ESTRONCAS DE EUCALIPTO</v>
      </c>
      <c r="E484" s="49" t="str">
        <f>'[3]Plan Tron'!E66</f>
        <v>M³</v>
      </c>
      <c r="F484" s="21">
        <v>43.05</v>
      </c>
      <c r="G484" s="9">
        <v>42.42</v>
      </c>
      <c r="H484" s="9">
        <f>'[3]Plan Tron'!F66</f>
        <v>27.46</v>
      </c>
      <c r="I484" s="9">
        <v>26.44</v>
      </c>
      <c r="J484" s="9">
        <f>ROUND(H484*(I484/100+1),2)</f>
        <v>34.72</v>
      </c>
      <c r="K484" s="383">
        <v>0</v>
      </c>
      <c r="L484" s="474">
        <f>F484-K484</f>
        <v>43.05</v>
      </c>
      <c r="M484" s="471">
        <f t="shared" si="45"/>
        <v>1494.7</v>
      </c>
      <c r="N484" s="405"/>
      <c r="O484" s="541"/>
      <c r="P484" s="405"/>
      <c r="Q484" s="405"/>
      <c r="S484" s="344" t="str">
        <f>UPPER(D484)</f>
        <v>CIMBRAMENTO EM MADEIRA COM ESTRONCAS DE EUCALIPTO</v>
      </c>
    </row>
    <row r="485" spans="1:19" s="344" customFormat="1">
      <c r="A485" s="55"/>
      <c r="B485" s="87"/>
      <c r="C485" s="55"/>
      <c r="D485" s="110"/>
      <c r="E485" s="18"/>
      <c r="F485" s="51"/>
      <c r="G485" s="20"/>
      <c r="H485" s="20"/>
      <c r="I485" s="20"/>
      <c r="J485" s="20"/>
      <c r="K485" s="110"/>
      <c r="L485" s="474"/>
      <c r="M485" s="471"/>
      <c r="N485" s="405"/>
      <c r="O485" s="541"/>
      <c r="P485" s="405"/>
      <c r="Q485" s="405"/>
    </row>
    <row r="486" spans="1:19" s="344" customFormat="1">
      <c r="A486" s="55"/>
      <c r="B486" s="87"/>
      <c r="C486" s="55"/>
      <c r="D486" s="35" t="s">
        <v>76</v>
      </c>
      <c r="E486" s="18"/>
      <c r="F486" s="51"/>
      <c r="G486" s="20"/>
      <c r="H486" s="20"/>
      <c r="I486" s="20"/>
      <c r="J486" s="20"/>
      <c r="K486" s="383"/>
      <c r="L486" s="474"/>
      <c r="M486" s="471"/>
      <c r="N486" s="405"/>
      <c r="O486" s="541"/>
      <c r="P486" s="405"/>
      <c r="Q486" s="405"/>
      <c r="S486" s="344" t="str">
        <f>UPPER(D486)</f>
        <v/>
      </c>
    </row>
    <row r="487" spans="1:19" s="344" customFormat="1">
      <c r="A487" s="45">
        <v>4</v>
      </c>
      <c r="B487" s="14"/>
      <c r="C487" s="45"/>
      <c r="D487" s="53" t="s">
        <v>2122</v>
      </c>
      <c r="E487" s="7"/>
      <c r="F487" s="10"/>
      <c r="G487" s="9"/>
      <c r="H487" s="9"/>
      <c r="I487" s="9"/>
      <c r="J487" s="9"/>
      <c r="K487" s="383"/>
      <c r="L487" s="474"/>
      <c r="M487" s="471"/>
      <c r="N487" s="405"/>
      <c r="O487" s="541"/>
      <c r="P487" s="405"/>
      <c r="Q487" s="405"/>
      <c r="S487" s="344" t="str">
        <f>UPPER(D487)</f>
        <v>ASSENTAMENTO DE TUBOS E PEÇAS</v>
      </c>
    </row>
    <row r="488" spans="1:19" s="414" customFormat="1">
      <c r="A488" s="410" t="s">
        <v>139</v>
      </c>
      <c r="B488" s="411"/>
      <c r="C488" s="410"/>
      <c r="D488" s="429" t="s">
        <v>2159</v>
      </c>
      <c r="E488" s="617"/>
      <c r="F488" s="422"/>
      <c r="G488" s="412"/>
      <c r="H488" s="412"/>
      <c r="I488" s="412"/>
      <c r="J488" s="412"/>
      <c r="K488" s="498"/>
      <c r="L488" s="474"/>
      <c r="M488" s="471"/>
      <c r="N488" s="419"/>
      <c r="O488" s="541"/>
      <c r="P488" s="419"/>
      <c r="Q488" s="419"/>
      <c r="S488" s="414" t="str">
        <f>UPPER(D488)</f>
        <v>FORNECIMENTO E/OU ASSENTAMENTO DE TUBO DE FERRO FUNDIDO COM JUNTA ELÁSTICA.</v>
      </c>
    </row>
    <row r="489" spans="1:19" s="414" customFormat="1">
      <c r="A489" s="410" t="s">
        <v>138</v>
      </c>
      <c r="B489" s="411"/>
      <c r="C489" s="410"/>
      <c r="D489" s="434" t="s">
        <v>2160</v>
      </c>
      <c r="E489" s="424"/>
      <c r="F489" s="422"/>
      <c r="G489" s="412"/>
      <c r="H489" s="412"/>
      <c r="I489" s="412"/>
      <c r="J489" s="412"/>
      <c r="K489" s="498"/>
      <c r="L489" s="474"/>
      <c r="M489" s="471"/>
      <c r="N489" s="419"/>
      <c r="O489" s="541"/>
      <c r="P489" s="419"/>
      <c r="Q489" s="419"/>
      <c r="S489" s="414" t="str">
        <f>UPPER(D489)</f>
        <v>ASSENTAMENTO DE TUBO DE FERRO FUNDIDO COM JUNTA ELÁSTICA.</v>
      </c>
    </row>
    <row r="490" spans="1:19" s="344" customFormat="1" ht="25.5">
      <c r="A490" s="49" t="s">
        <v>137</v>
      </c>
      <c r="B490" s="49" t="str">
        <f>'[3]Plan Tron'!B103</f>
        <v xml:space="preserve">73887/011 </v>
      </c>
      <c r="C490" s="49" t="str">
        <f>'[3]Plan Tron'!C103</f>
        <v>SINAPI</v>
      </c>
      <c r="D490" s="84" t="str">
        <f>'[3]Plan Tron'!D103</f>
        <v>ASSENTAMENTO SIMPLES DE TUBOS DE FERRO FUNDIDO (FOFO) C/ JUNTA ELASTICA - DN 600 MM - INCLUSIVE TRANSPORTE</v>
      </c>
      <c r="E490" s="77" t="str">
        <f>'[3]Plan Tron'!E103</f>
        <v>M</v>
      </c>
      <c r="F490" s="21">
        <v>7</v>
      </c>
      <c r="G490" s="27">
        <v>17.07</v>
      </c>
      <c r="H490" s="27">
        <f>'[3]Plan Tron'!F103</f>
        <v>22.3</v>
      </c>
      <c r="I490" s="9">
        <v>26.44</v>
      </c>
      <c r="J490" s="9">
        <f>ROUND(H490*(I490/100+1),2)</f>
        <v>28.2</v>
      </c>
      <c r="K490" s="383">
        <v>0</v>
      </c>
      <c r="L490" s="474">
        <f>F490-K490</f>
        <v>7</v>
      </c>
      <c r="M490" s="471">
        <f t="shared" si="45"/>
        <v>197.4</v>
      </c>
      <c r="N490" s="405"/>
      <c r="O490" s="541"/>
      <c r="P490" s="405"/>
      <c r="Q490" s="405"/>
      <c r="S490" s="344" t="str">
        <f>UPPER(D490)</f>
        <v>ASSENTAMENTO SIMPLES DE TUBOS DE FERRO FUNDIDO (FOFO) C/ JUNTA ELASTICA - DN 600 MM - INCLUSIVE TRANSPORTE</v>
      </c>
    </row>
    <row r="491" spans="1:19" s="344" customFormat="1">
      <c r="A491" s="55"/>
      <c r="B491" s="87"/>
      <c r="C491" s="55"/>
      <c r="D491" s="110"/>
      <c r="E491" s="18"/>
      <c r="F491" s="51"/>
      <c r="G491" s="20"/>
      <c r="H491" s="20"/>
      <c r="I491" s="20"/>
      <c r="J491" s="20"/>
      <c r="K491" s="110"/>
      <c r="L491" s="474"/>
      <c r="M491" s="471"/>
      <c r="N491" s="405"/>
      <c r="O491" s="541"/>
      <c r="P491" s="405"/>
      <c r="Q491" s="405"/>
    </row>
    <row r="492" spans="1:19" s="344" customFormat="1">
      <c r="A492" s="55"/>
      <c r="B492" s="87"/>
      <c r="C492" s="55"/>
      <c r="D492" s="35" t="s">
        <v>76</v>
      </c>
      <c r="E492" s="18"/>
      <c r="F492" s="51"/>
      <c r="G492" s="20"/>
      <c r="H492" s="20"/>
      <c r="I492" s="20"/>
      <c r="J492" s="20"/>
      <c r="K492" s="383"/>
      <c r="L492" s="474"/>
      <c r="M492" s="471"/>
      <c r="N492" s="405"/>
      <c r="O492" s="541"/>
      <c r="P492" s="405"/>
      <c r="Q492" s="405"/>
      <c r="S492" s="344" t="str">
        <f t="shared" ref="S492:S511" si="48">UPPER(D492)</f>
        <v/>
      </c>
    </row>
    <row r="493" spans="1:19" s="344" customFormat="1">
      <c r="A493" s="59">
        <v>5</v>
      </c>
      <c r="B493" s="79"/>
      <c r="C493" s="59"/>
      <c r="D493" s="396" t="s">
        <v>2054</v>
      </c>
      <c r="E493" s="18"/>
      <c r="F493" s="20"/>
      <c r="G493" s="51"/>
      <c r="H493" s="51"/>
      <c r="I493" s="51"/>
      <c r="J493" s="51"/>
      <c r="K493" s="383"/>
      <c r="L493" s="474"/>
      <c r="M493" s="471"/>
      <c r="N493" s="405"/>
      <c r="O493" s="541"/>
      <c r="P493" s="405"/>
      <c r="Q493" s="405"/>
      <c r="S493" s="344" t="str">
        <f t="shared" si="48"/>
        <v>FUNDAÇÕES E ESTRUTURAS</v>
      </c>
    </row>
    <row r="494" spans="1:19" s="414" customFormat="1" hidden="1">
      <c r="A494" s="410" t="s">
        <v>136</v>
      </c>
      <c r="B494" s="425"/>
      <c r="C494" s="410"/>
      <c r="D494" s="420" t="s">
        <v>2112</v>
      </c>
      <c r="E494" s="424"/>
      <c r="F494" s="422"/>
      <c r="G494" s="413"/>
      <c r="H494" s="413"/>
      <c r="I494" s="413"/>
      <c r="J494" s="413"/>
      <c r="K494" s="498"/>
      <c r="L494" s="474"/>
      <c r="M494" s="471"/>
      <c r="N494" s="419"/>
      <c r="O494" s="541"/>
      <c r="P494" s="419"/>
      <c r="Q494" s="419"/>
      <c r="S494" s="414" t="str">
        <f t="shared" si="48"/>
        <v>ESTACAS</v>
      </c>
    </row>
    <row r="495" spans="1:19" s="390" customFormat="1" ht="25.5" hidden="1">
      <c r="A495" s="49" t="s">
        <v>135</v>
      </c>
      <c r="B495" s="49">
        <f>'[3]Plan Tron'!B73</f>
        <v>90808</v>
      </c>
      <c r="C495" s="49" t="str">
        <f>'[3]Plan Tron'!C73</f>
        <v>SINAPI</v>
      </c>
      <c r="D495" s="35" t="str">
        <f>'[3]Plan Tron'!D73</f>
        <v>ESTACA HÉLICE CONTÍNUA, DIÂMETRO DE 30 CM, COMPRIMENTO TOTAL ATÉ 15 M, PERFURATRIZ COM TORQUE DE 170 KN.M (EXCLUSIVE MOBILIZAÇÃO E DESMOBILIZAÇÃO). AF_02/2015</v>
      </c>
      <c r="E495" s="24" t="str">
        <f>'[3]Plan Tron'!E73</f>
        <v>M</v>
      </c>
      <c r="F495" s="21">
        <v>1545</v>
      </c>
      <c r="G495" s="10">
        <v>21</v>
      </c>
      <c r="H495" s="10">
        <f>'[3]Plan Tron'!F73</f>
        <v>59.34</v>
      </c>
      <c r="I495" s="10">
        <v>26.44</v>
      </c>
      <c r="J495" s="10">
        <f>ROUND(H495*(I495/100+1),2)</f>
        <v>75.03</v>
      </c>
      <c r="K495" s="631">
        <v>1545</v>
      </c>
      <c r="L495" s="474">
        <f>F495-K495</f>
        <v>0</v>
      </c>
      <c r="M495" s="471">
        <f t="shared" si="45"/>
        <v>0</v>
      </c>
      <c r="N495" s="405"/>
      <c r="O495" s="541"/>
      <c r="P495" s="405"/>
      <c r="Q495" s="405"/>
      <c r="S495" s="344" t="str">
        <f t="shared" si="48"/>
        <v>ESTACA HÉLICE CONTÍNUA, DIÂMETRO DE 30 CM, COMPRIMENTO TOTAL ATÉ 15 M, PERFURATRIZ COM TORQUE DE 170 KN.M (EXCLUSIVE MOBILIZAÇÃO E DESMOBILIZAÇÃO). AF_02/2015</v>
      </c>
    </row>
    <row r="496" spans="1:19" s="414" customFormat="1" hidden="1">
      <c r="A496" s="650" t="s">
        <v>133</v>
      </c>
      <c r="B496" s="425"/>
      <c r="C496" s="410"/>
      <c r="D496" s="420" t="s">
        <v>2055</v>
      </c>
      <c r="E496" s="421"/>
      <c r="F496" s="659"/>
      <c r="G496" s="659"/>
      <c r="H496" s="659"/>
      <c r="I496" s="413"/>
      <c r="J496" s="413"/>
      <c r="K496" s="498"/>
      <c r="L496" s="474"/>
      <c r="M496" s="471"/>
      <c r="N496" s="419"/>
      <c r="O496" s="541"/>
      <c r="P496" s="419"/>
      <c r="Q496" s="419"/>
      <c r="S496" s="414" t="str">
        <f t="shared" si="48"/>
        <v>LASTROS / FUNDAÇÕES DIRETAS</v>
      </c>
    </row>
    <row r="497" spans="1:19" s="414" customFormat="1" hidden="1">
      <c r="A497" s="650" t="s">
        <v>132</v>
      </c>
      <c r="B497" s="425"/>
      <c r="C497" s="410"/>
      <c r="D497" s="420" t="s">
        <v>2056</v>
      </c>
      <c r="E497" s="640"/>
      <c r="F497" s="659"/>
      <c r="G497" s="659"/>
      <c r="H497" s="659"/>
      <c r="I497" s="413"/>
      <c r="J497" s="413"/>
      <c r="K497" s="498"/>
      <c r="L497" s="474"/>
      <c r="M497" s="471"/>
      <c r="N497" s="419"/>
      <c r="O497" s="541"/>
      <c r="P497" s="419"/>
      <c r="Q497" s="419"/>
      <c r="S497" s="414" t="str">
        <f t="shared" si="48"/>
        <v>LASTRO DE PEDRA BRITADA E FUNDAÇÕES EM BALDRAME.</v>
      </c>
    </row>
    <row r="498" spans="1:19" s="344" customFormat="1" hidden="1">
      <c r="A498" s="55" t="s">
        <v>131</v>
      </c>
      <c r="B498" s="49">
        <f>'[3]Plan Tron'!B18</f>
        <v>6514</v>
      </c>
      <c r="C498" s="49" t="str">
        <f>'[3]Plan Tron'!C18</f>
        <v>SINAPI</v>
      </c>
      <c r="D498" s="612" t="str">
        <f>'[3]Plan Tron'!D18</f>
        <v xml:space="preserve">FORNECIMENTO E LANCAMENTO DE BRITA N. 4 </v>
      </c>
      <c r="E498" s="49" t="str">
        <f>'[3]Plan Tron'!E18</f>
        <v>M³</v>
      </c>
      <c r="F498" s="20">
        <v>16.75</v>
      </c>
      <c r="G498" s="20">
        <f>G78</f>
        <v>74.28</v>
      </c>
      <c r="H498" s="20">
        <f>'[3]Plan Tron'!F18</f>
        <v>88.38</v>
      </c>
      <c r="I498" s="10">
        <v>26.44</v>
      </c>
      <c r="J498" s="10">
        <f>ROUND(H498*(I498/100+1),2)</f>
        <v>111.75</v>
      </c>
      <c r="K498" s="383">
        <v>16.75</v>
      </c>
      <c r="L498" s="474">
        <f>F498-K498</f>
        <v>0</v>
      </c>
      <c r="M498" s="471">
        <f t="shared" si="45"/>
        <v>0</v>
      </c>
      <c r="N498" s="405"/>
      <c r="O498" s="541"/>
      <c r="P498" s="405"/>
      <c r="Q498" s="405"/>
      <c r="S498" s="344" t="str">
        <f t="shared" si="48"/>
        <v xml:space="preserve">FORNECIMENTO E LANCAMENTO DE BRITA N. 4 </v>
      </c>
    </row>
    <row r="499" spans="1:19" s="414" customFormat="1">
      <c r="A499" s="650" t="s">
        <v>126</v>
      </c>
      <c r="B499" s="425"/>
      <c r="C499" s="410"/>
      <c r="D499" s="420" t="s">
        <v>2058</v>
      </c>
      <c r="E499" s="421"/>
      <c r="F499" s="659"/>
      <c r="G499" s="430"/>
      <c r="H499" s="430"/>
      <c r="I499" s="413"/>
      <c r="J499" s="413"/>
      <c r="K499" s="498"/>
      <c r="L499" s="474"/>
      <c r="M499" s="471"/>
      <c r="N499" s="419"/>
      <c r="O499" s="541"/>
      <c r="P499" s="419"/>
      <c r="Q499" s="419"/>
      <c r="S499" s="414" t="str">
        <f t="shared" si="48"/>
        <v>FORMAS / CIMBRAMENTOS / ESCORAMENTOS</v>
      </c>
    </row>
    <row r="500" spans="1:19" s="344" customFormat="1">
      <c r="A500" s="55" t="s">
        <v>125</v>
      </c>
      <c r="B500" s="49">
        <f>'[3]Plan Tron'!B20</f>
        <v>5651</v>
      </c>
      <c r="C500" s="49" t="str">
        <f>'[3]Plan Tron'!C20</f>
        <v>SINAPI</v>
      </c>
      <c r="D500" s="612" t="str">
        <f>'[3]Plan Tron'!D20</f>
        <v>FORMA DE MADEIRA COMUM PARA FUNDAÇÕES - REAPROVEITAMENTO 5X.</v>
      </c>
      <c r="E500" s="49" t="str">
        <f>'[3]Plan Tron'!E20</f>
        <v>M²</v>
      </c>
      <c r="F500" s="20">
        <v>1394.47</v>
      </c>
      <c r="G500" s="51">
        <v>22.96</v>
      </c>
      <c r="H500" s="51">
        <f>'[3]Plan Tron'!F20</f>
        <v>29.01</v>
      </c>
      <c r="I500" s="10">
        <v>26.44</v>
      </c>
      <c r="J500" s="10">
        <f>ROUND(H500*(I500/100+1),2)</f>
        <v>36.68</v>
      </c>
      <c r="K500" s="383">
        <v>984.91769999999997</v>
      </c>
      <c r="L500" s="474">
        <f>F500-K500</f>
        <v>409.55230000000006</v>
      </c>
      <c r="M500" s="471">
        <f t="shared" si="45"/>
        <v>15022.38</v>
      </c>
      <c r="N500" s="405"/>
      <c r="O500" s="541"/>
      <c r="P500" s="405"/>
      <c r="Q500" s="405"/>
      <c r="S500" s="344" t="str">
        <f t="shared" si="48"/>
        <v>FORMA DE MADEIRA COMUM PARA FUNDAÇÕES - REAPROVEITAMENTO 5X.</v>
      </c>
    </row>
    <row r="501" spans="1:19" s="344" customFormat="1">
      <c r="A501" s="55" t="s">
        <v>806</v>
      </c>
      <c r="B501" s="49" t="str">
        <f>B484</f>
        <v xml:space="preserve">080202 </v>
      </c>
      <c r="C501" s="49" t="str">
        <f>C484</f>
        <v>CPOS</v>
      </c>
      <c r="D501" s="732" t="str">
        <f>D484</f>
        <v>CIMBRAMENTO EM MADEIRA COM ESTRONCAS DE EUCALIPTO</v>
      </c>
      <c r="E501" s="55" t="str">
        <f>E484</f>
        <v>M³</v>
      </c>
      <c r="F501" s="20">
        <v>1159.6500000000001</v>
      </c>
      <c r="G501" s="51">
        <v>25.02</v>
      </c>
      <c r="H501" s="51">
        <f>H484</f>
        <v>27.46</v>
      </c>
      <c r="I501" s="10">
        <v>26.44</v>
      </c>
      <c r="J501" s="10">
        <f>ROUND(H501*(I501/100+1),2)</f>
        <v>34.72</v>
      </c>
      <c r="K501" s="383">
        <v>0</v>
      </c>
      <c r="L501" s="474">
        <f>F501-K501</f>
        <v>1159.6500000000001</v>
      </c>
      <c r="M501" s="471">
        <f t="shared" si="45"/>
        <v>40263.050000000003</v>
      </c>
      <c r="N501" s="405"/>
      <c r="O501" s="541"/>
      <c r="P501" s="405"/>
      <c r="Q501" s="405"/>
      <c r="S501" s="344" t="str">
        <f t="shared" si="48"/>
        <v>CIMBRAMENTO EM MADEIRA COM ESTRONCAS DE EUCALIPTO</v>
      </c>
    </row>
    <row r="502" spans="1:19" s="414" customFormat="1">
      <c r="A502" s="650" t="s">
        <v>123</v>
      </c>
      <c r="B502" s="425"/>
      <c r="C502" s="410"/>
      <c r="D502" s="420" t="s">
        <v>2059</v>
      </c>
      <c r="E502" s="421"/>
      <c r="F502" s="659"/>
      <c r="G502" s="430"/>
      <c r="H502" s="430"/>
      <c r="I502" s="413"/>
      <c r="J502" s="413"/>
      <c r="K502" s="498"/>
      <c r="L502" s="474"/>
      <c r="M502" s="471"/>
      <c r="N502" s="419"/>
      <c r="O502" s="541"/>
      <c r="P502" s="419"/>
      <c r="Q502" s="419"/>
      <c r="S502" s="414" t="str">
        <f t="shared" si="48"/>
        <v>ARMADURAS</v>
      </c>
    </row>
    <row r="503" spans="1:19" s="414" customFormat="1">
      <c r="A503" s="650" t="s">
        <v>122</v>
      </c>
      <c r="B503" s="425"/>
      <c r="C503" s="410"/>
      <c r="D503" s="420" t="s">
        <v>2060</v>
      </c>
      <c r="E503" s="421"/>
      <c r="F503" s="430"/>
      <c r="G503" s="659"/>
      <c r="H503" s="659"/>
      <c r="I503" s="413"/>
      <c r="J503" s="413"/>
      <c r="K503" s="498"/>
      <c r="L503" s="474"/>
      <c r="M503" s="471"/>
      <c r="N503" s="419"/>
      <c r="O503" s="541"/>
      <c r="P503" s="419"/>
      <c r="Q503" s="419"/>
      <c r="S503" s="414" t="str">
        <f t="shared" si="48"/>
        <v>ARMAÇÃO EM AÇO CA-50 PARA ESTRUTURAS DE CONCRETO.</v>
      </c>
    </row>
    <row r="504" spans="1:19" s="344" customFormat="1" ht="25.5">
      <c r="A504" s="55" t="s">
        <v>805</v>
      </c>
      <c r="B504" s="49">
        <f>'[3]Plan Tron'!B21</f>
        <v>92761</v>
      </c>
      <c r="C504" s="49" t="str">
        <f>'[3]Plan Tron'!C21</f>
        <v>SINAPI</v>
      </c>
      <c r="D504" s="614" t="str">
        <f>'[3]Plan Tron'!D21</f>
        <v>ARMAÇÃO DE PILAR OU VIGA DE UMA ESTRUTURA CONVENCIONAL DE CONCRETO ARMADO EM UM EDIFÍCIO DE MÚLTIPLOS PAVIMENTOS UTILIZANDO AÇO CA-50 DE 8.0MM - MONTAGEM. AF_12/2015</v>
      </c>
      <c r="E504" s="49" t="str">
        <f>'[3]Plan Tron'!E21</f>
        <v>KG</v>
      </c>
      <c r="F504" s="51">
        <v>28118</v>
      </c>
      <c r="G504" s="20">
        <f>G85</f>
        <v>5.9</v>
      </c>
      <c r="H504" s="20">
        <f>'[3]Plan Tron'!F21</f>
        <v>9.44</v>
      </c>
      <c r="I504" s="10">
        <v>26.44</v>
      </c>
      <c r="J504" s="10">
        <f>ROUND(H504*(I504/100+1),2)</f>
        <v>11.94</v>
      </c>
      <c r="K504" s="383">
        <v>27670.18</v>
      </c>
      <c r="L504" s="474">
        <f>F504-K504</f>
        <v>447.81999999999971</v>
      </c>
      <c r="M504" s="471">
        <f t="shared" si="45"/>
        <v>5346.97</v>
      </c>
      <c r="N504" s="405"/>
      <c r="O504" s="541"/>
      <c r="P504" s="405"/>
      <c r="Q504" s="405"/>
      <c r="S504" s="344" t="str">
        <f t="shared" si="48"/>
        <v>ARMAÇÃO DE PILAR OU VIGA DE UMA ESTRUTURA CONVENCIONAL DE CONCRETO ARMADO EM UM EDIFÍCIO DE MÚLTIPLOS PAVIMENTOS UTILIZANDO AÇO CA-50 DE 8.0MM - MONTAGEM. AF_12/2015</v>
      </c>
    </row>
    <row r="505" spans="1:19" s="344" customFormat="1" ht="25.5" hidden="1">
      <c r="A505" s="55" t="s">
        <v>804</v>
      </c>
      <c r="B505" s="55">
        <f>'[3]Plan Tron'!B90</f>
        <v>92763</v>
      </c>
      <c r="C505" s="55" t="str">
        <f>'[3]Plan Tron'!C90</f>
        <v>SINAPI</v>
      </c>
      <c r="D505" s="651" t="str">
        <f>'[3]Plan Tron'!D90</f>
        <v>ARMAÇÃO DE PILAR OU VIGA DE UMA ESTRUTURA CONVENCIONAL DE CONCRETO ARMADO EM UM EDIFÍCIO DE MÚLTIPLOS PAVIMENTOS UTILIZANDO AÇO CA-50 DE 12.5 MM - MONTAGEM. AF_12/2015</v>
      </c>
      <c r="E505" s="672" t="str">
        <f>'[3]Plan Tron'!E90</f>
        <v>KG</v>
      </c>
      <c r="F505" s="51">
        <v>2955</v>
      </c>
      <c r="G505" s="20">
        <v>6.66</v>
      </c>
      <c r="H505" s="20">
        <f>'[3]Plan Tron'!F90</f>
        <v>6.29</v>
      </c>
      <c r="I505" s="10">
        <v>26.44</v>
      </c>
      <c r="J505" s="10">
        <f t="shared" ref="J505:J511" si="49">ROUND(H505*(I505/100+1),2)</f>
        <v>7.95</v>
      </c>
      <c r="K505" s="383">
        <v>2955</v>
      </c>
      <c r="L505" s="474">
        <f>F505-K505</f>
        <v>0</v>
      </c>
      <c r="M505" s="471">
        <f t="shared" si="45"/>
        <v>0</v>
      </c>
      <c r="N505" s="405"/>
      <c r="O505" s="541"/>
      <c r="P505" s="405"/>
      <c r="Q505" s="405"/>
      <c r="S505" s="344" t="str">
        <f t="shared" si="48"/>
        <v>ARMAÇÃO DE PILAR OU VIGA DE UMA ESTRUTURA CONVENCIONAL DE CONCRETO ARMADO EM UM EDIFÍCIO DE MÚLTIPLOS PAVIMENTOS UTILIZANDO AÇO CA-50 DE 12.5 MM - MONTAGEM. AF_12/2015</v>
      </c>
    </row>
    <row r="506" spans="1:19" s="414" customFormat="1" hidden="1">
      <c r="A506" s="650" t="s">
        <v>803</v>
      </c>
      <c r="B506" s="425"/>
      <c r="C506" s="410"/>
      <c r="D506" s="420" t="s">
        <v>2061</v>
      </c>
      <c r="E506" s="421"/>
      <c r="F506" s="659"/>
      <c r="G506" s="430"/>
      <c r="H506" s="430"/>
      <c r="I506" s="413"/>
      <c r="J506" s="10"/>
      <c r="K506" s="498"/>
      <c r="L506" s="474"/>
      <c r="M506" s="471"/>
      <c r="N506" s="419"/>
      <c r="O506" s="541"/>
      <c r="P506" s="419"/>
      <c r="Q506" s="419"/>
      <c r="S506" s="414" t="str">
        <f t="shared" si="48"/>
        <v>CONCRETOS</v>
      </c>
    </row>
    <row r="507" spans="1:19" s="344" customFormat="1" hidden="1">
      <c r="A507" s="55" t="s">
        <v>802</v>
      </c>
      <c r="B507" s="49">
        <f>'[3]Plan Tron'!B24</f>
        <v>110406</v>
      </c>
      <c r="C507" s="49" t="str">
        <f>'[3]Plan Tron'!C24</f>
        <v>CPOS</v>
      </c>
      <c r="D507" s="81" t="str">
        <f>'[3]Plan Tron'!D24</f>
        <v xml:space="preserve">CONCRETO NÃO ESTRUTURAL EXECUTADO NO LOCAL, MINIMO 300KG CIMENTO/M³ </v>
      </c>
      <c r="E507" s="43" t="str">
        <f>'[3]Plan Tron'!E24</f>
        <v>M³</v>
      </c>
      <c r="F507" s="20">
        <v>16.75</v>
      </c>
      <c r="G507" s="20">
        <v>238.25</v>
      </c>
      <c r="H507" s="20">
        <f>'[3]Plan Tron'!F24</f>
        <v>279.64</v>
      </c>
      <c r="I507" s="10">
        <v>26.44</v>
      </c>
      <c r="J507" s="10">
        <f t="shared" si="49"/>
        <v>353.58</v>
      </c>
      <c r="K507" s="383">
        <v>16.75</v>
      </c>
      <c r="L507" s="474">
        <f>F507-K507</f>
        <v>0</v>
      </c>
      <c r="M507" s="471">
        <f t="shared" si="45"/>
        <v>0</v>
      </c>
      <c r="N507" s="405"/>
      <c r="O507" s="541"/>
      <c r="P507" s="405"/>
      <c r="Q507" s="405"/>
      <c r="S507" s="344" t="str">
        <f t="shared" si="48"/>
        <v xml:space="preserve">CONCRETO NÃO ESTRUTURAL EXECUTADO NO LOCAL, MINIMO 300KG CIMENTO/M³ </v>
      </c>
    </row>
    <row r="508" spans="1:19" s="414" customFormat="1">
      <c r="A508" s="650" t="s">
        <v>801</v>
      </c>
      <c r="B508" s="425"/>
      <c r="C508" s="410"/>
      <c r="D508" s="420" t="s">
        <v>2062</v>
      </c>
      <c r="E508" s="421"/>
      <c r="F508" s="430"/>
      <c r="G508" s="659"/>
      <c r="H508" s="659"/>
      <c r="I508" s="413"/>
      <c r="J508" s="10"/>
      <c r="K508" s="498"/>
      <c r="L508" s="474"/>
      <c r="M508" s="471"/>
      <c r="N508" s="419"/>
      <c r="O508" s="541"/>
      <c r="P508" s="419"/>
      <c r="Q508" s="419"/>
      <c r="S508" s="414" t="str">
        <f t="shared" si="48"/>
        <v>CONCRETO BOMBEADO</v>
      </c>
    </row>
    <row r="509" spans="1:19" s="344" customFormat="1">
      <c r="A509" s="55" t="s">
        <v>800</v>
      </c>
      <c r="B509" s="49">
        <f>'[3]Plan Tron'!B27</f>
        <v>110132</v>
      </c>
      <c r="C509" s="49" t="str">
        <f>'[3]Plan Tron'!C27</f>
        <v>CPOS</v>
      </c>
      <c r="D509" s="81" t="str">
        <f>'[3]Plan Tron'!D27</f>
        <v xml:space="preserve">CONCRETO USINADO, FCK=30MPa - PARA BOMBEAMENTO </v>
      </c>
      <c r="E509" s="309" t="str">
        <f>'[3]Plan Tron'!E27</f>
        <v>M³</v>
      </c>
      <c r="F509" s="51">
        <v>331.56</v>
      </c>
      <c r="G509" s="20">
        <v>336.65</v>
      </c>
      <c r="H509" s="20">
        <f>'[3]Plan Tron'!F27</f>
        <v>311.94</v>
      </c>
      <c r="I509" s="10">
        <v>26.44</v>
      </c>
      <c r="J509" s="10">
        <f t="shared" si="49"/>
        <v>394.42</v>
      </c>
      <c r="K509" s="383">
        <v>331.55892999999998</v>
      </c>
      <c r="L509" s="474">
        <f>F509-K509</f>
        <v>1.0700000000269938E-3</v>
      </c>
      <c r="M509" s="471">
        <f t="shared" si="45"/>
        <v>0.42</v>
      </c>
      <c r="N509" s="405"/>
      <c r="O509" s="541"/>
      <c r="P509" s="405"/>
      <c r="Q509" s="405"/>
      <c r="S509" s="344" t="str">
        <f t="shared" si="48"/>
        <v xml:space="preserve">CONCRETO USINADO, FCK=30MPA - PARA BOMBEAMENTO </v>
      </c>
    </row>
    <row r="510" spans="1:19" s="414" customFormat="1">
      <c r="A510" s="650" t="s">
        <v>799</v>
      </c>
      <c r="B510" s="425"/>
      <c r="C510" s="410"/>
      <c r="D510" s="420" t="s">
        <v>2113</v>
      </c>
      <c r="E510" s="640"/>
      <c r="F510" s="430"/>
      <c r="G510" s="659"/>
      <c r="H510" s="659"/>
      <c r="I510" s="413"/>
      <c r="J510" s="10"/>
      <c r="K510" s="498"/>
      <c r="L510" s="474"/>
      <c r="M510" s="471"/>
      <c r="N510" s="419"/>
      <c r="O510" s="541"/>
      <c r="P510" s="419"/>
      <c r="Q510" s="419"/>
      <c r="S510" s="414" t="str">
        <f t="shared" si="48"/>
        <v>PINTURA EM CONCRETO APARENTE</v>
      </c>
    </row>
    <row r="511" spans="1:19" s="344" customFormat="1">
      <c r="A511" s="55" t="s">
        <v>798</v>
      </c>
      <c r="B511" s="49">
        <f>'[3]Plan Tron'!B75</f>
        <v>84678</v>
      </c>
      <c r="C511" s="49" t="str">
        <f>'[3]Plan Tron'!C75</f>
        <v>SINAPI</v>
      </c>
      <c r="D511" s="612" t="str">
        <f>'[3]Plan Tron'!D75</f>
        <v xml:space="preserve">VERNIZ POLIURETANO BRILHANTE EM CONCRETO OU TIJOLO, TRES DEMAOS </v>
      </c>
      <c r="E511" s="49" t="str">
        <f>'[3]Plan Tron'!E75</f>
        <v>M²</v>
      </c>
      <c r="F511" s="51">
        <v>186.28</v>
      </c>
      <c r="G511" s="20">
        <v>6.86</v>
      </c>
      <c r="H511" s="20">
        <f>'[3]Plan Tron'!F75</f>
        <v>16.84</v>
      </c>
      <c r="I511" s="10">
        <v>26.44</v>
      </c>
      <c r="J511" s="10">
        <f t="shared" si="49"/>
        <v>21.29</v>
      </c>
      <c r="K511" s="383">
        <v>0</v>
      </c>
      <c r="L511" s="474">
        <f>F511-K511</f>
        <v>186.28</v>
      </c>
      <c r="M511" s="471">
        <f t="shared" si="45"/>
        <v>3965.9</v>
      </c>
      <c r="N511" s="405"/>
      <c r="O511" s="541"/>
      <c r="P511" s="405"/>
      <c r="Q511" s="405"/>
      <c r="S511" s="344" t="str">
        <f t="shared" si="48"/>
        <v xml:space="preserve">VERNIZ POLIURETANO BRILHANTE EM CONCRETO OU TIJOLO, TRES DEMAOS </v>
      </c>
    </row>
    <row r="512" spans="1:19" s="344" customFormat="1">
      <c r="A512" s="55"/>
      <c r="B512" s="65"/>
      <c r="C512" s="55"/>
      <c r="D512" s="110"/>
      <c r="E512" s="18"/>
      <c r="F512" s="20"/>
      <c r="G512" s="51"/>
      <c r="H512" s="51"/>
      <c r="I512" s="10"/>
      <c r="J512" s="10"/>
      <c r="K512" s="110"/>
      <c r="L512" s="474"/>
      <c r="M512" s="471"/>
      <c r="N512" s="405"/>
      <c r="O512" s="541"/>
      <c r="P512" s="405"/>
      <c r="Q512" s="405"/>
    </row>
    <row r="513" spans="1:19" s="344" customFormat="1">
      <c r="A513" s="55"/>
      <c r="B513" s="65"/>
      <c r="C513" s="55"/>
      <c r="D513" s="396" t="s">
        <v>76</v>
      </c>
      <c r="E513" s="18"/>
      <c r="F513" s="20"/>
      <c r="G513" s="51"/>
      <c r="H513" s="51"/>
      <c r="I513" s="10"/>
      <c r="J513" s="10"/>
      <c r="K513" s="383"/>
      <c r="L513" s="474"/>
      <c r="M513" s="471"/>
      <c r="N513" s="405"/>
      <c r="O513" s="541"/>
      <c r="P513" s="405"/>
      <c r="Q513" s="405"/>
      <c r="S513" s="344" t="str">
        <f>UPPER(D513)</f>
        <v/>
      </c>
    </row>
    <row r="514" spans="1:19" s="344" customFormat="1">
      <c r="A514" s="59">
        <v>6</v>
      </c>
      <c r="B514" s="29"/>
      <c r="C514" s="59"/>
      <c r="D514" s="396" t="s">
        <v>2103</v>
      </c>
      <c r="E514" s="28"/>
      <c r="F514" s="51"/>
      <c r="G514" s="20"/>
      <c r="H514" s="20"/>
      <c r="I514" s="10"/>
      <c r="J514" s="10"/>
      <c r="K514" s="383"/>
      <c r="L514" s="474"/>
      <c r="M514" s="471"/>
      <c r="N514" s="405"/>
      <c r="O514" s="541"/>
      <c r="P514" s="405"/>
      <c r="Q514" s="405"/>
      <c r="S514" s="344" t="str">
        <f>UPPER(D514)</f>
        <v>PAREDES E PAINÉIS</v>
      </c>
    </row>
    <row r="515" spans="1:19" s="414" customFormat="1" hidden="1">
      <c r="A515" s="650" t="s">
        <v>120</v>
      </c>
      <c r="B515" s="425"/>
      <c r="C515" s="410"/>
      <c r="D515" s="420" t="s">
        <v>2115</v>
      </c>
      <c r="E515" s="640"/>
      <c r="F515" s="430"/>
      <c r="G515" s="659"/>
      <c r="H515" s="659"/>
      <c r="I515" s="413"/>
      <c r="J515" s="413"/>
      <c r="K515" s="498"/>
      <c r="L515" s="474"/>
      <c r="M515" s="471"/>
      <c r="N515" s="419"/>
      <c r="O515" s="541"/>
      <c r="P515" s="419"/>
      <c r="Q515" s="419"/>
      <c r="S515" s="414" t="str">
        <f>UPPER(D515)</f>
        <v>ALVENARIA BLOCO CONCRETO</v>
      </c>
    </row>
    <row r="516" spans="1:19" s="390" customFormat="1" ht="38.25" hidden="1">
      <c r="A516" s="55" t="s">
        <v>119</v>
      </c>
      <c r="B516" s="55">
        <f>'[3]Plan Tron'!B76</f>
        <v>87451</v>
      </c>
      <c r="C516" s="55" t="str">
        <f>'[3]Plan Tron'!C76</f>
        <v>SINAPI</v>
      </c>
      <c r="D516" s="651" t="str">
        <f>'[3]Plan Tron'!D76</f>
        <v>ALVENARIA DE VEDAÇÃO DE BLOCOS VAZADOS DE CONCRETO DE 19X19X39CM (ESPESSURA 19CM) DE PAREDES COM ÁREA LÍQUIDA MENOR QUE 6M² SEM VÃOS E ARGAMASSA DE ASSENTAMENTO COM PREPARO EM BETONEIRA. AF_06/2014</v>
      </c>
      <c r="E516" s="55" t="str">
        <f>'[3]Plan Tron'!E76</f>
        <v>M²</v>
      </c>
      <c r="F516" s="51">
        <v>84.26</v>
      </c>
      <c r="G516" s="20">
        <v>65</v>
      </c>
      <c r="H516" s="20">
        <f>'[3]Plan Tron'!F76</f>
        <v>70.959999999999994</v>
      </c>
      <c r="I516" s="10">
        <v>26.44</v>
      </c>
      <c r="J516" s="10">
        <f>ROUND(H516*(I516/100+1),2)</f>
        <v>89.72</v>
      </c>
      <c r="K516" s="631">
        <v>84.26</v>
      </c>
      <c r="L516" s="474">
        <f>F516-K516</f>
        <v>0</v>
      </c>
      <c r="M516" s="471">
        <f t="shared" si="45"/>
        <v>0</v>
      </c>
      <c r="N516" s="405"/>
      <c r="O516" s="541"/>
      <c r="P516" s="405"/>
      <c r="Q516" s="405"/>
      <c r="S516" s="344" t="str">
        <f>UPPER(D516)</f>
        <v>ALVENARIA DE VEDAÇÃO DE BLOCOS VAZADOS DE CONCRETO DE 19X19X39CM (ESPESSURA 19CM) DE PAREDES COM ÁREA LÍQUIDA MENOR QUE 6M² SEM VÃOS E ARGAMASSA DE ASSENTAMENTO COM PREPARO EM BETONEIRA. AF_06/2014</v>
      </c>
    </row>
    <row r="517" spans="1:19" s="344" customFormat="1">
      <c r="A517" s="55"/>
      <c r="B517" s="65"/>
      <c r="C517" s="55"/>
      <c r="D517" s="110"/>
      <c r="E517" s="18"/>
      <c r="F517" s="20"/>
      <c r="G517" s="51"/>
      <c r="H517" s="51"/>
      <c r="I517" s="10"/>
      <c r="J517" s="10"/>
      <c r="K517" s="110"/>
      <c r="L517" s="474"/>
      <c r="M517" s="471"/>
      <c r="N517" s="405"/>
      <c r="O517" s="541"/>
      <c r="P517" s="405"/>
      <c r="Q517" s="405"/>
    </row>
    <row r="518" spans="1:19" s="344" customFormat="1">
      <c r="A518" s="55"/>
      <c r="B518" s="65"/>
      <c r="C518" s="55"/>
      <c r="D518" s="396" t="s">
        <v>76</v>
      </c>
      <c r="E518" s="18"/>
      <c r="F518" s="20"/>
      <c r="G518" s="51"/>
      <c r="H518" s="51"/>
      <c r="I518" s="10"/>
      <c r="J518" s="10"/>
      <c r="K518" s="383"/>
      <c r="L518" s="474"/>
      <c r="M518" s="471"/>
      <c r="N518" s="405"/>
      <c r="O518" s="541"/>
      <c r="P518" s="405"/>
      <c r="Q518" s="405"/>
      <c r="S518" s="344" t="str">
        <f>UPPER(D518)</f>
        <v/>
      </c>
    </row>
    <row r="519" spans="1:19" s="344" customFormat="1">
      <c r="A519" s="59">
        <v>7</v>
      </c>
      <c r="B519" s="79"/>
      <c r="C519" s="59"/>
      <c r="D519" s="396" t="s">
        <v>2122</v>
      </c>
      <c r="E519" s="18"/>
      <c r="F519" s="20"/>
      <c r="G519" s="20"/>
      <c r="H519" s="20"/>
      <c r="I519" s="10"/>
      <c r="J519" s="10"/>
      <c r="K519" s="383"/>
      <c r="L519" s="474"/>
      <c r="M519" s="471"/>
      <c r="N519" s="405"/>
      <c r="O519" s="541"/>
      <c r="P519" s="405"/>
      <c r="Q519" s="405"/>
      <c r="S519" s="344" t="str">
        <f>UPPER(D519)</f>
        <v>ASSENTAMENTO DE TUBOS E PEÇAS</v>
      </c>
    </row>
    <row r="520" spans="1:19" s="414" customFormat="1">
      <c r="A520" s="650" t="s">
        <v>109</v>
      </c>
      <c r="B520" s="425"/>
      <c r="C520" s="410"/>
      <c r="D520" s="420" t="s">
        <v>2123</v>
      </c>
      <c r="E520" s="421"/>
      <c r="F520" s="430"/>
      <c r="G520" s="659"/>
      <c r="H520" s="659"/>
      <c r="I520" s="413"/>
      <c r="J520" s="413"/>
      <c r="K520" s="498"/>
      <c r="L520" s="474"/>
      <c r="M520" s="471"/>
      <c r="N520" s="419"/>
      <c r="O520" s="541"/>
      <c r="P520" s="419"/>
      <c r="Q520" s="419"/>
      <c r="S520" s="414" t="str">
        <f>UPPER(D520)</f>
        <v>FORNECIMENTO E/OU ASSENTAMENTO DE TUBO DE PVC COM JUNTA ELÁSTICA.</v>
      </c>
    </row>
    <row r="521" spans="1:19" s="414" customFormat="1">
      <c r="A521" s="650" t="s">
        <v>108</v>
      </c>
      <c r="B521" s="425"/>
      <c r="C521" s="410"/>
      <c r="D521" s="706" t="s">
        <v>2124</v>
      </c>
      <c r="E521" s="640"/>
      <c r="F521" s="430"/>
      <c r="G521" s="659"/>
      <c r="H521" s="659"/>
      <c r="I521" s="413"/>
      <c r="J521" s="413"/>
      <c r="K521" s="498"/>
      <c r="L521" s="474"/>
      <c r="M521" s="471"/>
      <c r="N521" s="419"/>
      <c r="O521" s="541"/>
      <c r="P521" s="419"/>
      <c r="Q521" s="419"/>
      <c r="S521" s="414" t="str">
        <f>UPPER(D521)</f>
        <v>ASSENTAMENTO TUBO PVC, RPVC, PVC DEFOFO, PRFV P/ ÁGUA COM JE.</v>
      </c>
    </row>
    <row r="522" spans="1:19" s="344" customFormat="1">
      <c r="A522" s="55" t="s">
        <v>107</v>
      </c>
      <c r="B522" s="49" t="str">
        <f>'[3]Plan Tron'!B104</f>
        <v xml:space="preserve">73888/003 </v>
      </c>
      <c r="C522" s="49" t="str">
        <f>'[3]Plan Tron'!C104</f>
        <v>SINAPI</v>
      </c>
      <c r="D522" s="707" t="str">
        <f>'[3]Plan Tron'!D104</f>
        <v>ASSENTAMENTO TUBO PVC COM JUNTA ELASTICA, DN 100 MM - (OU RPVC, OU PVC DEFOFO, OU PRFV) - PARA AGUA.</v>
      </c>
      <c r="E522" s="28" t="s">
        <v>2336</v>
      </c>
      <c r="F522" s="20">
        <v>82.27</v>
      </c>
      <c r="G522" s="51">
        <v>1.84</v>
      </c>
      <c r="H522" s="51">
        <f>'[3]Plan Tron'!F104</f>
        <v>2.92</v>
      </c>
      <c r="I522" s="10">
        <v>26.44</v>
      </c>
      <c r="J522" s="10">
        <f>ROUND(H522*(I522/100+1),2)</f>
        <v>3.69</v>
      </c>
      <c r="K522" s="383">
        <v>0</v>
      </c>
      <c r="L522" s="474">
        <f>F522-K522</f>
        <v>82.27</v>
      </c>
      <c r="M522" s="471">
        <f t="shared" ref="M522:M538" si="50">ROUND(L522*J522,2)</f>
        <v>303.58</v>
      </c>
      <c r="N522" s="405"/>
      <c r="O522" s="541"/>
      <c r="P522" s="405"/>
      <c r="Q522" s="405"/>
      <c r="S522" s="344" t="str">
        <f>UPPER(D522)</f>
        <v>ASSENTAMENTO TUBO PVC COM JUNTA ELASTICA, DN 100 MM - (OU RPVC, OU PVC DEFOFO, OU PRFV) - PARA AGUA.</v>
      </c>
    </row>
    <row r="523" spans="1:19" s="344" customFormat="1">
      <c r="A523" s="55"/>
      <c r="B523" s="65"/>
      <c r="C523" s="55"/>
      <c r="D523" s="110"/>
      <c r="E523" s="18"/>
      <c r="F523" s="20"/>
      <c r="G523" s="20"/>
      <c r="H523" s="20"/>
      <c r="I523" s="10"/>
      <c r="J523" s="10"/>
      <c r="K523" s="110"/>
      <c r="L523" s="474"/>
      <c r="M523" s="471"/>
      <c r="N523" s="405"/>
      <c r="O523" s="541"/>
      <c r="P523" s="405"/>
      <c r="Q523" s="405"/>
    </row>
    <row r="524" spans="1:19" s="344" customFormat="1">
      <c r="A524" s="55"/>
      <c r="B524" s="22"/>
      <c r="C524" s="55"/>
      <c r="D524" s="35" t="s">
        <v>76</v>
      </c>
      <c r="E524" s="18"/>
      <c r="F524" s="51"/>
      <c r="G524" s="51"/>
      <c r="H524" s="51"/>
      <c r="I524" s="10"/>
      <c r="J524" s="10"/>
      <c r="K524" s="383"/>
      <c r="L524" s="474"/>
      <c r="M524" s="471"/>
      <c r="N524" s="405"/>
      <c r="O524" s="541"/>
      <c r="P524" s="405"/>
      <c r="Q524" s="405"/>
      <c r="S524" s="344" t="str">
        <f t="shared" ref="S524:S534" si="51">UPPER(D524)</f>
        <v/>
      </c>
    </row>
    <row r="525" spans="1:19" s="344" customFormat="1">
      <c r="A525" s="59">
        <v>8</v>
      </c>
      <c r="B525" s="79"/>
      <c r="C525" s="59"/>
      <c r="D525" s="396" t="s">
        <v>2073</v>
      </c>
      <c r="E525" s="18"/>
      <c r="F525" s="20"/>
      <c r="G525" s="20"/>
      <c r="H525" s="20"/>
      <c r="I525" s="10"/>
      <c r="J525" s="10"/>
      <c r="K525" s="383"/>
      <c r="L525" s="474"/>
      <c r="M525" s="471"/>
      <c r="N525" s="405"/>
      <c r="O525" s="541"/>
      <c r="P525" s="405"/>
      <c r="Q525" s="405"/>
      <c r="S525" s="344" t="str">
        <f t="shared" si="51"/>
        <v>IMPERMEABILIZAÇÕES E PROTEÇÕES DIVERSAS</v>
      </c>
    </row>
    <row r="526" spans="1:19" s="414" customFormat="1">
      <c r="A526" s="650" t="s">
        <v>90</v>
      </c>
      <c r="B526" s="425"/>
      <c r="C526" s="410"/>
      <c r="D526" s="420" t="s">
        <v>2129</v>
      </c>
      <c r="E526" s="421"/>
      <c r="F526" s="430"/>
      <c r="G526" s="659"/>
      <c r="H526" s="659"/>
      <c r="I526" s="413"/>
      <c r="J526" s="413"/>
      <c r="K526" s="498"/>
      <c r="L526" s="474"/>
      <c r="M526" s="471"/>
      <c r="N526" s="419"/>
      <c r="O526" s="541"/>
      <c r="P526" s="419"/>
      <c r="Q526" s="419"/>
      <c r="S526" s="414" t="str">
        <f t="shared" si="51"/>
        <v>IMPERMEABILIZAÇÃO COM MANTA</v>
      </c>
    </row>
    <row r="527" spans="1:19" s="414" customFormat="1">
      <c r="A527" s="650" t="s">
        <v>89</v>
      </c>
      <c r="B527" s="425"/>
      <c r="C527" s="410"/>
      <c r="D527" s="706" t="s">
        <v>2130</v>
      </c>
      <c r="E527" s="640"/>
      <c r="F527" s="430"/>
      <c r="G527" s="659"/>
      <c r="H527" s="659"/>
      <c r="I527" s="413"/>
      <c r="J527" s="413"/>
      <c r="K527" s="498"/>
      <c r="L527" s="474"/>
      <c r="M527" s="471"/>
      <c r="N527" s="419"/>
      <c r="O527" s="541"/>
      <c r="P527" s="419"/>
      <c r="Q527" s="419"/>
      <c r="S527" s="414" t="str">
        <f t="shared" si="51"/>
        <v>IMPERMEABILIZAÇÃO DE TERRAÇOS E LAJES</v>
      </c>
    </row>
    <row r="528" spans="1:19" s="344" customFormat="1" ht="25.5">
      <c r="A528" s="55" t="s">
        <v>88</v>
      </c>
      <c r="B528" s="49" t="str">
        <f>'[3]Plan Tron'!B105</f>
        <v xml:space="preserve">73753/001 </v>
      </c>
      <c r="C528" s="49" t="str">
        <f>'[3]Plan Tron'!C105</f>
        <v>SINAPI</v>
      </c>
      <c r="D528" s="39" t="str">
        <f>'[3]Plan Tron'!D105</f>
        <v>IMPERMEABILIZACAO DE SUPERFICIE COM MANTA ASFALTICA PROTEGIDA COM FILME DE ALUMINIO GOFRADO (DE ESPESSURA 0,8MM), INCLUSA APLICACAO DE EMULSAO ASFALTICA, E=3MM.</v>
      </c>
      <c r="E528" s="672" t="str">
        <f>'[3]Plan Tron'!E105</f>
        <v>M²</v>
      </c>
      <c r="F528" s="51">
        <v>314.33</v>
      </c>
      <c r="G528" s="20">
        <v>58.81</v>
      </c>
      <c r="H528" s="20">
        <f>'[3]Plan Tron'!F105</f>
        <v>85.69</v>
      </c>
      <c r="I528" s="10">
        <v>26.44</v>
      </c>
      <c r="J528" s="10">
        <f>ROUND(H528*(I528/100+1),2)</f>
        <v>108.35</v>
      </c>
      <c r="K528" s="383">
        <v>0</v>
      </c>
      <c r="L528" s="474">
        <f>F528-K528</f>
        <v>314.33</v>
      </c>
      <c r="M528" s="471">
        <f t="shared" si="50"/>
        <v>34057.660000000003</v>
      </c>
      <c r="N528" s="405"/>
      <c r="O528" s="541"/>
      <c r="P528" s="405"/>
      <c r="Q528" s="405"/>
      <c r="S528" s="344" t="str">
        <f t="shared" si="51"/>
        <v>IMPERMEABILIZACAO DE SUPERFICIE COM MANTA ASFALTICA PROTEGIDA COM FILME DE ALUMINIO GOFRADO (DE ESPESSURA 0,8MM), INCLUSA APLICACAO DE EMULSAO ASFALTICA, E=3MM.</v>
      </c>
    </row>
    <row r="529" spans="1:37" s="414" customFormat="1">
      <c r="A529" s="650" t="s">
        <v>797</v>
      </c>
      <c r="B529" s="425"/>
      <c r="C529" s="410"/>
      <c r="D529" s="420" t="s">
        <v>2074</v>
      </c>
      <c r="E529" s="421"/>
      <c r="F529" s="659"/>
      <c r="G529" s="659"/>
      <c r="H529" s="659"/>
      <c r="I529" s="413"/>
      <c r="J529" s="413"/>
      <c r="K529" s="498"/>
      <c r="L529" s="474"/>
      <c r="M529" s="471"/>
      <c r="N529" s="419"/>
      <c r="O529" s="541"/>
      <c r="P529" s="419"/>
      <c r="Q529" s="419"/>
      <c r="S529" s="414" t="str">
        <f t="shared" si="51"/>
        <v>IMPERMEABILIZAÇÃO COM CIMENTO CRISTALIZADO</v>
      </c>
    </row>
    <row r="530" spans="1:37" s="414" customFormat="1" ht="25.5">
      <c r="A530" s="650" t="s">
        <v>796</v>
      </c>
      <c r="B530" s="425"/>
      <c r="C530" s="410"/>
      <c r="D530" s="420" t="s">
        <v>2075</v>
      </c>
      <c r="E530" s="421"/>
      <c r="F530" s="659"/>
      <c r="G530" s="659"/>
      <c r="H530" s="659"/>
      <c r="I530" s="413"/>
      <c r="J530" s="413"/>
      <c r="K530" s="498"/>
      <c r="L530" s="474"/>
      <c r="M530" s="471"/>
      <c r="N530" s="419"/>
      <c r="O530" s="541"/>
      <c r="P530" s="419"/>
      <c r="Q530" s="419"/>
      <c r="S530" s="414" t="str">
        <f t="shared" si="51"/>
        <v>CIMENTO ESPECIAL CRISTALIZANTE DENVERLIT C/ EMULSÃO ADESIVA DENVERFIX - DENVER - 1 DEMÃO P/ SUBSOLO / BALDRAMES / GALERIAS / JARDINEIRAS / ETC.</v>
      </c>
    </row>
    <row r="531" spans="1:37" s="344" customFormat="1">
      <c r="A531" s="55" t="s">
        <v>795</v>
      </c>
      <c r="B531" s="49" t="str">
        <f>'[3]Plan Tron'!B33</f>
        <v>73929/001</v>
      </c>
      <c r="C531" s="49" t="str">
        <f>'[3]Plan Tron'!C33</f>
        <v>SINAPI</v>
      </c>
      <c r="D531" s="612" t="str">
        <f>'[3]Plan Tron'!D33</f>
        <v>IMPERMEABILIZACAO DE SUPERFICIE COM CIMENTO ESPECIAL CRISTALIZANTE COM ADESIVO LIQUIDO, UMA DEMAO.</v>
      </c>
      <c r="E531" s="49" t="str">
        <f>'[3]Plan Tron'!E33</f>
        <v>M²</v>
      </c>
      <c r="F531" s="20">
        <v>3999.1</v>
      </c>
      <c r="G531" s="20">
        <v>18.329999999999998</v>
      </c>
      <c r="H531" s="20">
        <f>'[3]Plan Tron'!F33</f>
        <v>30.96</v>
      </c>
      <c r="I531" s="10">
        <v>26.44</v>
      </c>
      <c r="J531" s="10">
        <f>ROUND(H531*(I531/100+1),2)</f>
        <v>39.15</v>
      </c>
      <c r="K531" s="474">
        <v>1058.4000000000001</v>
      </c>
      <c r="L531" s="474">
        <f>F531-K531</f>
        <v>2940.7</v>
      </c>
      <c r="M531" s="471">
        <f t="shared" si="50"/>
        <v>115128.41</v>
      </c>
      <c r="N531" s="405"/>
      <c r="O531" s="541"/>
      <c r="P531" s="405"/>
      <c r="Q531" s="405"/>
      <c r="S531" s="344" t="str">
        <f t="shared" si="51"/>
        <v>IMPERMEABILIZACAO DE SUPERFICIE COM CIMENTO ESPECIAL CRISTALIZANTE COM ADESIVO LIQUIDO, UMA DEMAO.</v>
      </c>
    </row>
    <row r="532" spans="1:37" s="414" customFormat="1">
      <c r="A532" s="650" t="s">
        <v>794</v>
      </c>
      <c r="B532" s="425"/>
      <c r="C532" s="410"/>
      <c r="D532" s="420" t="s">
        <v>2131</v>
      </c>
      <c r="E532" s="421"/>
      <c r="F532" s="659"/>
      <c r="G532" s="659"/>
      <c r="H532" s="659"/>
      <c r="I532" s="413"/>
      <c r="J532" s="413"/>
      <c r="K532" s="498"/>
      <c r="L532" s="474"/>
      <c r="M532" s="471"/>
      <c r="N532" s="419"/>
      <c r="O532" s="541"/>
      <c r="P532" s="419"/>
      <c r="Q532" s="419"/>
      <c r="S532" s="414" t="str">
        <f t="shared" si="51"/>
        <v>IMPERMEABILIZAÇÃO BETUMINOSA C/ EMULSÃO ASFÁLTICA E ACRÍLICA.</v>
      </c>
    </row>
    <row r="533" spans="1:37" s="414" customFormat="1" ht="25.5" hidden="1">
      <c r="A533" s="650" t="s">
        <v>793</v>
      </c>
      <c r="B533" s="425"/>
      <c r="C533" s="410"/>
      <c r="D533" s="420" t="s">
        <v>2132</v>
      </c>
      <c r="E533" s="421"/>
      <c r="F533" s="659"/>
      <c r="G533" s="659"/>
      <c r="H533" s="659"/>
      <c r="I533" s="413"/>
      <c r="J533" s="413"/>
      <c r="K533" s="498"/>
      <c r="L533" s="474"/>
      <c r="M533" s="471"/>
      <c r="N533" s="419"/>
      <c r="O533" s="541"/>
      <c r="P533" s="419"/>
      <c r="Q533" s="419"/>
      <c r="S533" s="414" t="str">
        <f t="shared" si="51"/>
        <v>IMPERMEABILIZAÇÃO DE FUNDAÇÕES / BALDRAMES / MUROS DE ARRIMO / ALICERCES / REVESTIMENTOS EM CONTATO C/ SOLO - UTILIZAÇÃO DE TINTA BETUMINOSA TIPO NEUTROLIN / DUAS DEMÃOS.</v>
      </c>
    </row>
    <row r="534" spans="1:37" s="344" customFormat="1" hidden="1">
      <c r="A534" s="55" t="s">
        <v>792</v>
      </c>
      <c r="B534" s="49" t="str">
        <f>'[3]Plan Tron'!B71</f>
        <v>74106/001</v>
      </c>
      <c r="C534" s="49" t="str">
        <f>'[3]Plan Tron'!C71</f>
        <v>SINAPI</v>
      </c>
      <c r="D534" s="612" t="str">
        <f>'[3]Plan Tron'!D71</f>
        <v>IMPERMEABILIZACAO DE ESTRUTURAS ENTERRADAS,COM TINTA ASFALTICA, DUAS DEMÃOS.</v>
      </c>
      <c r="E534" s="49" t="str">
        <f>'[3]Plan Tron'!E71</f>
        <v>M²</v>
      </c>
      <c r="F534" s="20">
        <v>243.79</v>
      </c>
      <c r="G534" s="20">
        <v>6.65</v>
      </c>
      <c r="H534" s="20">
        <f>'[3]Plan Tron'!F71</f>
        <v>9.2899999999999991</v>
      </c>
      <c r="I534" s="10">
        <v>26.44</v>
      </c>
      <c r="J534" s="10">
        <f>ROUND(H534*(I534/100+1),2)</f>
        <v>11.75</v>
      </c>
      <c r="K534" s="383">
        <v>243.79</v>
      </c>
      <c r="L534" s="474">
        <f>F534-K534</f>
        <v>0</v>
      </c>
      <c r="M534" s="471">
        <f t="shared" si="50"/>
        <v>0</v>
      </c>
      <c r="N534" s="405"/>
      <c r="O534" s="541"/>
      <c r="P534" s="405"/>
      <c r="Q534" s="405"/>
      <c r="S534" s="344" t="str">
        <f t="shared" si="51"/>
        <v>IMPERMEABILIZACAO DE ESTRUTURAS ENTERRADAS,COM TINTA ASFALTICA, DUAS DEMÃOS.</v>
      </c>
    </row>
    <row r="535" spans="1:37">
      <c r="A535" s="55"/>
      <c r="B535" s="65"/>
      <c r="C535" s="55"/>
      <c r="D535" s="110"/>
      <c r="E535" s="18"/>
      <c r="F535" s="20"/>
      <c r="G535" s="20"/>
      <c r="H535" s="20"/>
      <c r="I535" s="10"/>
      <c r="J535" s="10"/>
      <c r="K535" s="110"/>
      <c r="L535" s="474"/>
      <c r="M535" s="471"/>
      <c r="N535" s="405"/>
      <c r="O535" s="541"/>
      <c r="P535" s="405"/>
      <c r="Q535" s="405"/>
    </row>
    <row r="536" spans="1:37">
      <c r="A536" s="55"/>
      <c r="B536" s="65"/>
      <c r="C536" s="55"/>
      <c r="D536" s="396" t="s">
        <v>76</v>
      </c>
      <c r="E536" s="18"/>
      <c r="F536" s="20"/>
      <c r="G536" s="20"/>
      <c r="H536" s="20"/>
      <c r="I536" s="10"/>
      <c r="J536" s="10"/>
      <c r="K536" s="383"/>
      <c r="L536" s="474"/>
      <c r="M536" s="471"/>
      <c r="N536" s="405"/>
      <c r="O536" s="541"/>
      <c r="P536" s="405"/>
      <c r="Q536" s="405"/>
      <c r="S536" s="344" t="str">
        <f>UPPER(D536)</f>
        <v/>
      </c>
    </row>
    <row r="537" spans="1:37">
      <c r="A537" s="59">
        <v>9</v>
      </c>
      <c r="B537" s="79"/>
      <c r="C537" s="59"/>
      <c r="D537" s="396" t="s">
        <v>2109</v>
      </c>
      <c r="E537" s="18"/>
      <c r="F537" s="20"/>
      <c r="G537" s="20"/>
      <c r="H537" s="20"/>
      <c r="I537" s="10"/>
      <c r="J537" s="10"/>
      <c r="K537" s="383"/>
      <c r="L537" s="474"/>
      <c r="M537" s="471"/>
      <c r="N537" s="405"/>
      <c r="O537" s="541"/>
      <c r="P537" s="405"/>
      <c r="Q537" s="405"/>
      <c r="S537" s="344" t="str">
        <f>UPPER(D537)</f>
        <v>MONTAGEM DE MATERIAIS E EQUIPAMENTOS HIDRÁULICOS, HIDROMECÂNICOS E DIVERSOS</v>
      </c>
    </row>
    <row r="538" spans="1:37" s="344" customFormat="1" ht="25.5">
      <c r="A538" s="55" t="s">
        <v>87</v>
      </c>
      <c r="B538" s="83" t="s">
        <v>308</v>
      </c>
      <c r="C538" s="55"/>
      <c r="D538" s="35" t="s">
        <v>2161</v>
      </c>
      <c r="E538" s="18" t="s">
        <v>2339</v>
      </c>
      <c r="F538" s="20">
        <v>1</v>
      </c>
      <c r="G538" s="20">
        <v>20051.039999999997</v>
      </c>
      <c r="H538" s="9">
        <f t="shared" ref="H538" si="52">G538*$P$7</f>
        <v>23164.966511999995</v>
      </c>
      <c r="I538" s="10">
        <v>26.44</v>
      </c>
      <c r="J538" s="10">
        <f>ROUND(H538*(I538/100+1),2)</f>
        <v>29289.78</v>
      </c>
      <c r="K538" s="383">
        <v>0</v>
      </c>
      <c r="L538" s="474">
        <f>F538-K538</f>
        <v>1</v>
      </c>
      <c r="M538" s="471">
        <f t="shared" si="50"/>
        <v>29289.78</v>
      </c>
      <c r="N538" s="405"/>
      <c r="O538" s="541"/>
      <c r="P538" s="405"/>
      <c r="Q538" s="405"/>
      <c r="S538" s="344" t="str">
        <f>UPPER(D538)</f>
        <v>MONTAGEM HIDRÁULICA E HIDROMECÂNICA DE TUBOS, PEÇAS, ACESSÓRIOS E EQUIPAMENTOS DA LISTA DE MATERIAL DO RESERVATÓRIO - 1ª ETAPA.</v>
      </c>
    </row>
    <row r="539" spans="1:37">
      <c r="A539" s="88"/>
      <c r="B539" s="65"/>
      <c r="C539" s="88"/>
      <c r="D539" s="110"/>
      <c r="E539" s="18"/>
      <c r="F539" s="20"/>
      <c r="G539" s="20"/>
      <c r="H539" s="20"/>
      <c r="I539" s="20"/>
      <c r="J539" s="20"/>
      <c r="K539" s="110"/>
      <c r="L539" s="474"/>
      <c r="M539" s="472"/>
      <c r="N539" s="405"/>
      <c r="O539" s="541"/>
      <c r="P539" s="405"/>
      <c r="Q539" s="405"/>
    </row>
    <row r="540" spans="1:37">
      <c r="A540" s="88"/>
      <c r="B540" s="65"/>
      <c r="C540" s="88"/>
      <c r="D540" s="110"/>
      <c r="E540" s="18"/>
      <c r="F540" s="20"/>
      <c r="G540" s="20"/>
      <c r="H540" s="20"/>
      <c r="I540" s="20"/>
      <c r="J540" s="20"/>
      <c r="K540" s="110"/>
      <c r="L540" s="474"/>
      <c r="M540" s="472"/>
      <c r="N540" s="405"/>
      <c r="O540" s="541"/>
      <c r="P540" s="405"/>
      <c r="Q540" s="405"/>
    </row>
    <row r="541" spans="1:37" s="299" customFormat="1">
      <c r="A541" s="340"/>
      <c r="B541" s="338"/>
      <c r="C541" s="338"/>
      <c r="D541" s="512" t="s">
        <v>2357</v>
      </c>
      <c r="E541" s="340"/>
      <c r="F541" s="338"/>
      <c r="G541" s="338"/>
      <c r="H541" s="338"/>
      <c r="I541" s="338"/>
      <c r="J541" s="338"/>
      <c r="K541" s="512"/>
      <c r="L541" s="508"/>
      <c r="M541" s="505">
        <f>SUM(M453:M539)</f>
        <v>248448.06</v>
      </c>
      <c r="N541" s="405"/>
      <c r="O541" s="541"/>
      <c r="P541" s="405"/>
      <c r="Q541" s="405"/>
      <c r="R541" s="388"/>
      <c r="S541" s="344" t="str">
        <f>UPPER(K541)</f>
        <v/>
      </c>
      <c r="T541" s="388"/>
      <c r="U541" s="388"/>
      <c r="V541" s="388"/>
      <c r="W541" s="388"/>
      <c r="X541" s="388"/>
      <c r="Y541" s="388"/>
      <c r="Z541" s="388"/>
      <c r="AA541" s="388"/>
      <c r="AB541" s="388"/>
      <c r="AC541" s="388"/>
      <c r="AD541" s="388"/>
      <c r="AE541" s="388"/>
      <c r="AF541" s="388"/>
      <c r="AG541" s="388"/>
      <c r="AH541" s="388"/>
      <c r="AI541" s="388"/>
      <c r="AJ541" s="388"/>
      <c r="AK541" s="388"/>
    </row>
    <row r="542" spans="1:37" s="299" customFormat="1">
      <c r="A542" s="340"/>
      <c r="B542" s="338"/>
      <c r="C542" s="338"/>
      <c r="D542" s="439" t="s">
        <v>76</v>
      </c>
      <c r="E542" s="340" t="s">
        <v>76</v>
      </c>
      <c r="F542" s="338"/>
      <c r="G542" s="338"/>
      <c r="H542" s="338"/>
      <c r="I542" s="338"/>
      <c r="J542" s="338"/>
      <c r="K542" s="341"/>
      <c r="L542" s="474"/>
      <c r="M542" s="471"/>
      <c r="N542" s="405"/>
      <c r="O542" s="541"/>
      <c r="P542" s="405"/>
      <c r="Q542" s="405"/>
      <c r="R542" s="388"/>
      <c r="S542" s="344" t="str">
        <f t="shared" ref="S542:S568" si="53">UPPER(D542)</f>
        <v/>
      </c>
      <c r="T542" s="388"/>
      <c r="U542" s="388"/>
      <c r="V542" s="388"/>
      <c r="W542" s="388"/>
      <c r="X542" s="388"/>
      <c r="Y542" s="388"/>
      <c r="Z542" s="388"/>
      <c r="AA542" s="388"/>
      <c r="AB542" s="388"/>
      <c r="AC542" s="388"/>
      <c r="AD542" s="388"/>
      <c r="AE542" s="388"/>
      <c r="AF542" s="388"/>
      <c r="AG542" s="388"/>
      <c r="AH542" s="388"/>
      <c r="AI542" s="388"/>
      <c r="AJ542" s="388"/>
      <c r="AK542" s="388"/>
    </row>
    <row r="543" spans="1:37" s="310" customFormat="1">
      <c r="A543" s="802" t="s">
        <v>63</v>
      </c>
      <c r="B543" s="109"/>
      <c r="C543" s="108"/>
      <c r="D543" s="812" t="s">
        <v>1995</v>
      </c>
      <c r="E543" s="813" t="s">
        <v>76</v>
      </c>
      <c r="F543" s="109"/>
      <c r="G543" s="109"/>
      <c r="H543" s="109"/>
      <c r="I543" s="109"/>
      <c r="J543" s="109"/>
      <c r="K543" s="814"/>
      <c r="L543" s="815"/>
      <c r="M543" s="816"/>
      <c r="N543" s="817"/>
      <c r="O543" s="818"/>
      <c r="P543" s="817"/>
      <c r="Q543" s="817"/>
      <c r="S543" s="310" t="str">
        <f t="shared" si="53"/>
        <v xml:space="preserve">INSTALAÇÕES ELÉTRICAS (RESERVATÓRIO PULMÃO) </v>
      </c>
    </row>
    <row r="544" spans="1:37">
      <c r="A544" s="45"/>
      <c r="B544" s="50"/>
      <c r="C544" s="45"/>
      <c r="D544" s="53" t="s">
        <v>2162</v>
      </c>
      <c r="E544" s="47" t="s">
        <v>76</v>
      </c>
      <c r="F544" s="76"/>
      <c r="G544" s="10"/>
      <c r="H544" s="10"/>
      <c r="I544" s="10"/>
      <c r="J544" s="10"/>
      <c r="K544" s="383"/>
      <c r="L544" s="474"/>
      <c r="M544" s="471"/>
      <c r="N544" s="405"/>
      <c r="O544" s="541"/>
      <c r="P544" s="405"/>
      <c r="Q544" s="405"/>
      <c r="S544" s="344" t="str">
        <f t="shared" si="53"/>
        <v>MONTAGEM DE MATERIAIS E EQUIPAMENTOS ELÉTRICOS, DE AUTOMAÇÃO E DIVERSOS - RES. PULMÃO</v>
      </c>
    </row>
    <row r="545" spans="1:37">
      <c r="A545" s="45">
        <v>1</v>
      </c>
      <c r="B545" s="50"/>
      <c r="C545" s="45"/>
      <c r="D545" s="53" t="s">
        <v>2163</v>
      </c>
      <c r="E545" s="47" t="s">
        <v>76</v>
      </c>
      <c r="F545" s="76"/>
      <c r="G545" s="10"/>
      <c r="H545" s="10"/>
      <c r="I545" s="10"/>
      <c r="J545" s="10"/>
      <c r="K545" s="383"/>
      <c r="L545" s="474"/>
      <c r="M545" s="471"/>
      <c r="N545" s="405"/>
      <c r="O545" s="541"/>
      <c r="P545" s="405"/>
      <c r="Q545" s="405"/>
      <c r="S545" s="344" t="str">
        <f t="shared" si="53"/>
        <v>MONTAGEM ELÉTRICA - RES. PULMÃO</v>
      </c>
    </row>
    <row r="546" spans="1:37" s="344" customFormat="1">
      <c r="A546" s="49" t="s">
        <v>20</v>
      </c>
      <c r="B546" s="50" t="s">
        <v>815</v>
      </c>
      <c r="C546" s="49"/>
      <c r="D546" s="130" t="s">
        <v>2150</v>
      </c>
      <c r="E546" s="18" t="s">
        <v>2337</v>
      </c>
      <c r="F546" s="51">
        <v>1</v>
      </c>
      <c r="G546" s="10">
        <v>1089.8400000000001</v>
      </c>
      <c r="H546" s="9">
        <f t="shared" ref="H546:H549" si="54">G546*$P$7</f>
        <v>1259.0921520000002</v>
      </c>
      <c r="I546" s="10">
        <v>26.44</v>
      </c>
      <c r="J546" s="10">
        <f>ROUND(H546*(I546/100+1),2)</f>
        <v>1592</v>
      </c>
      <c r="K546" s="383">
        <v>0</v>
      </c>
      <c r="L546" s="474">
        <f>F546-K546</f>
        <v>1</v>
      </c>
      <c r="M546" s="471">
        <f t="shared" ref="M546:M553" si="55">ROUND(L546*J546,2)</f>
        <v>1592</v>
      </c>
      <c r="N546" s="405"/>
      <c r="O546" s="541"/>
      <c r="P546" s="405"/>
      <c r="Q546" s="405"/>
      <c r="S546" s="344" t="str">
        <f t="shared" si="53"/>
        <v>MONTAGEM DE MATERIAIS ELÉTRICOS DE  BAIXA TENSÃO, CONFORME COMPOSIÇÃO EM ANEXO.</v>
      </c>
    </row>
    <row r="547" spans="1:37" s="344" customFormat="1">
      <c r="A547" s="49" t="s">
        <v>19</v>
      </c>
      <c r="B547" s="50" t="s">
        <v>814</v>
      </c>
      <c r="C547" s="49"/>
      <c r="D547" s="130" t="s">
        <v>2164</v>
      </c>
      <c r="E547" s="7" t="s">
        <v>2337</v>
      </c>
      <c r="F547" s="21">
        <v>1</v>
      </c>
      <c r="G547" s="10">
        <v>2724.6</v>
      </c>
      <c r="H547" s="9">
        <f t="shared" si="54"/>
        <v>3147.73038</v>
      </c>
      <c r="I547" s="10">
        <v>26.44</v>
      </c>
      <c r="J547" s="10">
        <f t="shared" ref="J547:J549" si="56">ROUND(H547*(I547/100+1),2)</f>
        <v>3979.99</v>
      </c>
      <c r="K547" s="383">
        <v>0</v>
      </c>
      <c r="L547" s="474">
        <f>F547-K547</f>
        <v>1</v>
      </c>
      <c r="M547" s="471">
        <f t="shared" si="55"/>
        <v>3979.99</v>
      </c>
      <c r="N547" s="405"/>
      <c r="O547" s="541"/>
      <c r="P547" s="405"/>
      <c r="Q547" s="405"/>
      <c r="S547" s="344" t="str">
        <f t="shared" si="53"/>
        <v>INSTALAÇÃO DE PAINÉIS DA ELEVATÓRIA, CONFORME COMPOSIÇÃO EM ANEXO.</v>
      </c>
    </row>
    <row r="548" spans="1:37" s="344" customFormat="1" ht="25.5">
      <c r="A548" s="49" t="s">
        <v>18</v>
      </c>
      <c r="B548" s="50" t="s">
        <v>813</v>
      </c>
      <c r="C548" s="49"/>
      <c r="D548" s="130" t="s">
        <v>2165</v>
      </c>
      <c r="E548" s="18" t="s">
        <v>2337</v>
      </c>
      <c r="F548" s="51">
        <v>1</v>
      </c>
      <c r="G548" s="10">
        <v>18042</v>
      </c>
      <c r="H548" s="9">
        <f t="shared" si="54"/>
        <v>20843.922600000002</v>
      </c>
      <c r="I548" s="10">
        <v>26.44</v>
      </c>
      <c r="J548" s="10">
        <f t="shared" si="56"/>
        <v>26355.06</v>
      </c>
      <c r="K548" s="383">
        <v>0</v>
      </c>
      <c r="L548" s="474">
        <f>F548-K548</f>
        <v>1</v>
      </c>
      <c r="M548" s="471">
        <f t="shared" si="55"/>
        <v>26355.06</v>
      </c>
      <c r="N548" s="405"/>
      <c r="O548" s="541"/>
      <c r="P548" s="405"/>
      <c r="Q548" s="405"/>
      <c r="S548" s="344" t="str">
        <f t="shared" si="53"/>
        <v>PROGRAMAÇÃO DO CLP, DA ELEVATÓRIA, COM ELABORAÇÃO DE TELAS DE PROCESSO, ELABORAÇÃO DE FLUXOGRAMA, ESPECIFICAÇÕES, MANUAIS POSTA EM MARCHA, TREINAMENTO, ETC.</v>
      </c>
    </row>
    <row r="549" spans="1:37" s="344" customFormat="1">
      <c r="A549" s="49" t="s">
        <v>17</v>
      </c>
      <c r="B549" s="50" t="s">
        <v>812</v>
      </c>
      <c r="C549" s="49"/>
      <c r="D549" s="130" t="s">
        <v>2166</v>
      </c>
      <c r="E549" s="18" t="s">
        <v>2337</v>
      </c>
      <c r="F549" s="51">
        <v>1</v>
      </c>
      <c r="G549" s="10">
        <v>1816.4</v>
      </c>
      <c r="H549" s="9">
        <f t="shared" si="54"/>
        <v>2098.4869200000003</v>
      </c>
      <c r="I549" s="10">
        <v>26.44</v>
      </c>
      <c r="J549" s="10">
        <f t="shared" si="56"/>
        <v>2653.33</v>
      </c>
      <c r="K549" s="383">
        <v>0</v>
      </c>
      <c r="L549" s="474">
        <f>F549-K549</f>
        <v>1</v>
      </c>
      <c r="M549" s="471">
        <f t="shared" si="55"/>
        <v>2653.33</v>
      </c>
      <c r="N549" s="405"/>
      <c r="O549" s="541"/>
      <c r="P549" s="405"/>
      <c r="Q549" s="405"/>
      <c r="S549" s="344" t="str">
        <f t="shared" si="53"/>
        <v>INSTALAÇÃO E COMISSIONAMENTO DE INSTRUMENTOS, CONFORME COMPOSIÇÃO EM ANEXO.</v>
      </c>
    </row>
    <row r="550" spans="1:37" s="415" customFormat="1">
      <c r="A550" s="410" t="s">
        <v>16</v>
      </c>
      <c r="B550" s="428"/>
      <c r="C550" s="410"/>
      <c r="D550" s="429" t="s">
        <v>2167</v>
      </c>
      <c r="E550" s="421" t="s">
        <v>76</v>
      </c>
      <c r="F550" s="430"/>
      <c r="G550" s="413"/>
      <c r="H550" s="413"/>
      <c r="I550" s="413"/>
      <c r="J550" s="413"/>
      <c r="K550" s="498"/>
      <c r="L550" s="474"/>
      <c r="M550" s="471"/>
      <c r="N550" s="419"/>
      <c r="O550" s="541"/>
      <c r="P550" s="419"/>
      <c r="Q550" s="419"/>
      <c r="R550" s="414"/>
      <c r="S550" s="414" t="str">
        <f t="shared" si="53"/>
        <v>ELETRODUTO E AFINS</v>
      </c>
      <c r="T550" s="414"/>
      <c r="U550" s="414"/>
      <c r="V550" s="414"/>
      <c r="W550" s="414"/>
      <c r="X550" s="414"/>
      <c r="Y550" s="414"/>
      <c r="Z550" s="414"/>
      <c r="AA550" s="414"/>
      <c r="AB550" s="414"/>
      <c r="AC550" s="414"/>
      <c r="AD550" s="414"/>
      <c r="AE550" s="414"/>
      <c r="AF550" s="414"/>
      <c r="AG550" s="414"/>
      <c r="AH550" s="414"/>
      <c r="AI550" s="414"/>
      <c r="AJ550" s="414"/>
      <c r="AK550" s="414"/>
    </row>
    <row r="551" spans="1:37" s="344" customFormat="1">
      <c r="A551" s="49" t="s">
        <v>270</v>
      </c>
      <c r="B551" s="49" t="str">
        <f>'[3]Plan Tron'!B54</f>
        <v xml:space="preserve">380406 </v>
      </c>
      <c r="C551" s="49" t="str">
        <f>'[3]Plan Tron'!C54</f>
        <v>CPOS</v>
      </c>
      <c r="D551" s="612" t="str">
        <f>'[3]Plan Tron'!D54</f>
        <v xml:space="preserve">ELETRODUTO DE FERRO GALVANIZADO, MÉDIO DE 1' - COM ACESSÓRIOS </v>
      </c>
      <c r="E551" s="49" t="str">
        <f>'[3]Plan Tron'!E54</f>
        <v>M</v>
      </c>
      <c r="F551" s="21">
        <v>24</v>
      </c>
      <c r="G551" s="10">
        <v>21.38</v>
      </c>
      <c r="H551" s="10">
        <f>'[3]Plan Tron'!F54</f>
        <v>24.56</v>
      </c>
      <c r="I551" s="10">
        <v>26.44</v>
      </c>
      <c r="J551" s="10">
        <f>ROUND(H551*(I551/100+1),2)</f>
        <v>31.05</v>
      </c>
      <c r="K551" s="383">
        <v>0</v>
      </c>
      <c r="L551" s="474">
        <f>F551-K551</f>
        <v>24</v>
      </c>
      <c r="M551" s="471">
        <f t="shared" si="55"/>
        <v>745.2</v>
      </c>
      <c r="N551" s="405"/>
      <c r="O551" s="541"/>
      <c r="P551" s="405"/>
      <c r="Q551" s="405"/>
      <c r="S551" s="344" t="str">
        <f t="shared" si="53"/>
        <v xml:space="preserve">ELETRODUTO DE FERRO GALVANIZADO, MÉDIO DE 1' - COM ACESSÓRIOS </v>
      </c>
    </row>
    <row r="552" spans="1:37" s="344" customFormat="1">
      <c r="A552" s="49" t="s">
        <v>369</v>
      </c>
      <c r="B552" s="50" t="s">
        <v>811</v>
      </c>
      <c r="C552" s="49" t="s">
        <v>2015</v>
      </c>
      <c r="D552" s="35" t="s">
        <v>2168</v>
      </c>
      <c r="E552" s="7" t="s">
        <v>2338</v>
      </c>
      <c r="F552" s="21">
        <v>2</v>
      </c>
      <c r="G552" s="10">
        <v>12.8</v>
      </c>
      <c r="H552" s="9">
        <f t="shared" ref="H552:H553" si="57">G552*$P$7</f>
        <v>14.787840000000001</v>
      </c>
      <c r="I552" s="10">
        <v>26.44</v>
      </c>
      <c r="J552" s="10">
        <f>ROUND(H552*(I552/100+1),2)</f>
        <v>18.7</v>
      </c>
      <c r="K552" s="383">
        <v>0</v>
      </c>
      <c r="L552" s="474">
        <f>F552-K552</f>
        <v>2</v>
      </c>
      <c r="M552" s="471">
        <f t="shared" si="55"/>
        <v>37.4</v>
      </c>
      <c r="N552" s="405"/>
      <c r="O552" s="541"/>
      <c r="P552" s="405"/>
      <c r="Q552" s="405"/>
      <c r="S552" s="344" t="str">
        <f t="shared" si="53"/>
        <v>CAIXA DE LIGAÇÃO ("CONDULETE"), TIPO "LL", Ø1", COM TAMPA CEGA.</v>
      </c>
    </row>
    <row r="553" spans="1:37" s="344" customFormat="1">
      <c r="A553" s="49" t="s">
        <v>367</v>
      </c>
      <c r="B553" s="50" t="s">
        <v>810</v>
      </c>
      <c r="C553" s="49" t="s">
        <v>2015</v>
      </c>
      <c r="D553" s="35" t="s">
        <v>2169</v>
      </c>
      <c r="E553" s="7" t="s">
        <v>2338</v>
      </c>
      <c r="F553" s="21">
        <v>2</v>
      </c>
      <c r="G553" s="10">
        <v>14.86</v>
      </c>
      <c r="H553" s="9">
        <f t="shared" si="57"/>
        <v>17.167757999999999</v>
      </c>
      <c r="I553" s="10">
        <v>26.44</v>
      </c>
      <c r="J553" s="10">
        <f>ROUND(H553*(I553/100+1),2)</f>
        <v>21.71</v>
      </c>
      <c r="K553" s="383">
        <v>0</v>
      </c>
      <c r="L553" s="474">
        <f>F553-K553</f>
        <v>2</v>
      </c>
      <c r="M553" s="471">
        <f t="shared" si="55"/>
        <v>43.42</v>
      </c>
      <c r="N553" s="405"/>
      <c r="O553" s="541"/>
      <c r="P553" s="405"/>
      <c r="Q553" s="405"/>
      <c r="S553" s="344" t="str">
        <f t="shared" si="53"/>
        <v>CAIXA DE LIGAÇÃO ("CONDULETE"), TIPO "T", Ø1", COM TAMPA CEGA.</v>
      </c>
    </row>
    <row r="554" spans="1:37">
      <c r="A554" s="49"/>
      <c r="B554" s="50"/>
      <c r="C554" s="49"/>
      <c r="D554" s="65"/>
      <c r="E554" s="18"/>
      <c r="F554" s="51"/>
      <c r="G554" s="316"/>
      <c r="H554" s="20"/>
      <c r="I554" s="20"/>
      <c r="J554" s="20"/>
      <c r="K554" s="65"/>
      <c r="L554" s="474"/>
      <c r="M554" s="472"/>
      <c r="N554" s="405"/>
      <c r="O554" s="541"/>
      <c r="P554" s="405"/>
      <c r="Q554" s="405"/>
    </row>
    <row r="555" spans="1:37">
      <c r="A555" s="49"/>
      <c r="B555" s="50"/>
      <c r="C555" s="49"/>
      <c r="D555" s="65"/>
      <c r="E555" s="18"/>
      <c r="F555" s="51"/>
      <c r="G555" s="316"/>
      <c r="H555" s="20"/>
      <c r="I555" s="20"/>
      <c r="J555" s="20"/>
      <c r="K555" s="65"/>
      <c r="L555" s="474"/>
      <c r="M555" s="472"/>
      <c r="N555" s="405"/>
      <c r="O555" s="541"/>
      <c r="P555" s="405"/>
      <c r="Q555" s="405"/>
    </row>
    <row r="556" spans="1:37" s="299" customFormat="1" ht="14.25" customHeight="1">
      <c r="A556" s="297"/>
      <c r="B556" s="298"/>
      <c r="C556" s="298"/>
      <c r="D556" s="513" t="s">
        <v>2385</v>
      </c>
      <c r="E556" s="297"/>
      <c r="F556" s="298"/>
      <c r="G556" s="301"/>
      <c r="H556" s="338"/>
      <c r="I556" s="298"/>
      <c r="J556" s="298"/>
      <c r="K556" s="513"/>
      <c r="L556" s="508"/>
      <c r="M556" s="505">
        <f>SUM(M546:M554)</f>
        <v>35406.400000000001</v>
      </c>
      <c r="N556" s="405"/>
      <c r="O556" s="541"/>
      <c r="P556" s="405"/>
      <c r="Q556" s="405"/>
      <c r="R556" s="388"/>
      <c r="S556" s="344" t="str">
        <f t="shared" si="53"/>
        <v>TOTAL ITEM 14.2</v>
      </c>
      <c r="T556" s="388"/>
      <c r="U556" s="388"/>
      <c r="V556" s="388"/>
      <c r="W556" s="388"/>
      <c r="X556" s="388"/>
      <c r="Y556" s="388"/>
      <c r="Z556" s="388"/>
      <c r="AA556" s="388"/>
      <c r="AB556" s="388"/>
      <c r="AC556" s="388"/>
      <c r="AD556" s="388"/>
      <c r="AE556" s="388"/>
      <c r="AF556" s="388"/>
      <c r="AG556" s="388"/>
      <c r="AH556" s="388"/>
      <c r="AI556" s="388"/>
      <c r="AJ556" s="388"/>
      <c r="AK556" s="388"/>
    </row>
    <row r="557" spans="1:37" s="299" customFormat="1">
      <c r="A557" s="297"/>
      <c r="B557" s="298"/>
      <c r="C557" s="298"/>
      <c r="D557" s="442" t="s">
        <v>76</v>
      </c>
      <c r="E557" s="297" t="s">
        <v>76</v>
      </c>
      <c r="F557" s="298"/>
      <c r="G557" s="301"/>
      <c r="H557" s="338"/>
      <c r="I557" s="298"/>
      <c r="J557" s="298"/>
      <c r="K557" s="341"/>
      <c r="L557" s="474"/>
      <c r="M557" s="471"/>
      <c r="N557" s="405"/>
      <c r="O557" s="541"/>
      <c r="P557" s="405"/>
      <c r="Q557" s="405"/>
      <c r="R557" s="388"/>
      <c r="S557" s="344" t="str">
        <f t="shared" si="53"/>
        <v/>
      </c>
      <c r="T557" s="388"/>
      <c r="U557" s="388"/>
      <c r="V557" s="388"/>
      <c r="W557" s="388"/>
      <c r="X557" s="388"/>
      <c r="Y557" s="388"/>
      <c r="Z557" s="388"/>
      <c r="AA557" s="388"/>
      <c r="AB557" s="388"/>
      <c r="AC557" s="388"/>
      <c r="AD557" s="388"/>
      <c r="AE557" s="388"/>
      <c r="AF557" s="388"/>
      <c r="AG557" s="388"/>
      <c r="AH557" s="388"/>
      <c r="AI557" s="388"/>
      <c r="AJ557" s="388"/>
      <c r="AK557" s="388"/>
    </row>
    <row r="558" spans="1:37" s="450" customFormat="1">
      <c r="A558" s="445">
        <v>16</v>
      </c>
      <c r="B558" s="446"/>
      <c r="C558" s="447"/>
      <c r="D558" s="448" t="s">
        <v>1963</v>
      </c>
      <c r="E558" s="453" t="s">
        <v>76</v>
      </c>
      <c r="F558" s="446"/>
      <c r="G558" s="446"/>
      <c r="H558" s="446"/>
      <c r="I558" s="446"/>
      <c r="J558" s="446"/>
      <c r="K558" s="473"/>
      <c r="L558" s="478"/>
      <c r="M558" s="479"/>
      <c r="N558" s="454"/>
      <c r="O558" s="541"/>
      <c r="P558" s="454"/>
      <c r="Q558" s="454"/>
      <c r="S558" s="450" t="str">
        <f t="shared" si="53"/>
        <v xml:space="preserve">ESTAÇÃO ELEVATÓRIA PARA O RESERVATÓRIO ELEVADO DE ÁGUA PARA PROCESSOS DA ETA </v>
      </c>
    </row>
    <row r="559" spans="1:37">
      <c r="A559" s="296"/>
      <c r="B559" s="44"/>
      <c r="C559" s="44"/>
      <c r="D559" s="438" t="s">
        <v>76</v>
      </c>
      <c r="E559" s="296" t="s">
        <v>76</v>
      </c>
      <c r="F559" s="44"/>
      <c r="G559" s="302"/>
      <c r="H559" s="339"/>
      <c r="I559" s="44"/>
      <c r="J559" s="44"/>
      <c r="K559" s="383"/>
      <c r="L559" s="474"/>
      <c r="M559" s="471"/>
      <c r="N559" s="405"/>
      <c r="O559" s="541"/>
      <c r="P559" s="405"/>
      <c r="Q559" s="405"/>
      <c r="S559" s="344" t="str">
        <f t="shared" si="53"/>
        <v/>
      </c>
    </row>
    <row r="560" spans="1:37" s="344" customFormat="1">
      <c r="A560" s="45">
        <v>1</v>
      </c>
      <c r="B560" s="23"/>
      <c r="C560" s="45"/>
      <c r="D560" s="399" t="s">
        <v>2054</v>
      </c>
      <c r="E560" s="24" t="s">
        <v>76</v>
      </c>
      <c r="F560" s="21"/>
      <c r="G560" s="10"/>
      <c r="H560" s="10"/>
      <c r="I560" s="10"/>
      <c r="J560" s="10"/>
      <c r="K560" s="383"/>
      <c r="L560" s="474"/>
      <c r="M560" s="471"/>
      <c r="N560" s="405"/>
      <c r="O560" s="541"/>
      <c r="P560" s="405"/>
      <c r="Q560" s="405"/>
      <c r="S560" s="344" t="str">
        <f t="shared" si="53"/>
        <v>FUNDAÇÕES E ESTRUTURAS</v>
      </c>
    </row>
    <row r="561" spans="1:19" s="414" customFormat="1">
      <c r="A561" s="410" t="s">
        <v>20</v>
      </c>
      <c r="B561" s="646"/>
      <c r="C561" s="410"/>
      <c r="D561" s="647" t="s">
        <v>2058</v>
      </c>
      <c r="E561" s="648" t="s">
        <v>76</v>
      </c>
      <c r="F561" s="674"/>
      <c r="G561" s="413"/>
      <c r="H561" s="413"/>
      <c r="I561" s="413"/>
      <c r="J561" s="413"/>
      <c r="K561" s="498"/>
      <c r="L561" s="474"/>
      <c r="M561" s="471"/>
      <c r="N561" s="419"/>
      <c r="O561" s="541"/>
      <c r="P561" s="419"/>
      <c r="Q561" s="419"/>
      <c r="S561" s="414" t="str">
        <f t="shared" si="53"/>
        <v>FORMAS / CIMBRAMENTOS / ESCORAMENTOS</v>
      </c>
    </row>
    <row r="562" spans="1:19" s="344" customFormat="1" ht="25.5">
      <c r="A562" s="49" t="s">
        <v>153</v>
      </c>
      <c r="B562" s="49" t="str">
        <f>'[3]Plan Tron'!B74</f>
        <v xml:space="preserve">92264 </v>
      </c>
      <c r="C562" s="49" t="str">
        <f>'[3]Plan Tron'!C74</f>
        <v>SINAPI</v>
      </c>
      <c r="D562" s="118" t="str">
        <f>'[3]Plan Tron'!D74</f>
        <v>FABRICAÇÃO DE FÔRMA PARA PILARES E ESTRUTURAS SIMILARES, EM CHAPA DE MADEIRA COMPENSADA PLASTIFICADA, E = 18 MM. AF_12/2015</v>
      </c>
      <c r="E562" s="34" t="str">
        <f>'[3]Plan Tron'!E74</f>
        <v>M²</v>
      </c>
      <c r="F562" s="21">
        <v>1.01</v>
      </c>
      <c r="G562" s="10">
        <v>32.619999999999997</v>
      </c>
      <c r="H562" s="10">
        <f>'[3]Plan Tron'!F74</f>
        <v>99.07</v>
      </c>
      <c r="I562" s="10">
        <v>26.44</v>
      </c>
      <c r="J562" s="10">
        <f>ROUND(H562*(I562/100+1),2)</f>
        <v>125.26</v>
      </c>
      <c r="K562" s="383">
        <v>0</v>
      </c>
      <c r="L562" s="474">
        <f>F562-K562</f>
        <v>1.01</v>
      </c>
      <c r="M562" s="471">
        <f t="shared" ref="M562:M577" si="58">ROUND(L562*J562,2)</f>
        <v>126.51</v>
      </c>
      <c r="N562" s="405"/>
      <c r="O562" s="541"/>
      <c r="P562" s="405"/>
      <c r="Q562" s="405"/>
      <c r="S562" s="344" t="str">
        <f t="shared" si="53"/>
        <v>FABRICAÇÃO DE FÔRMA PARA PILARES E ESTRUTURAS SIMILARES, EM CHAPA DE MADEIRA COMPENSADA PLASTIFICADA, E = 18 MM. AF_12/2015</v>
      </c>
    </row>
    <row r="563" spans="1:19" s="414" customFormat="1">
      <c r="A563" s="410" t="s">
        <v>19</v>
      </c>
      <c r="B563" s="673"/>
      <c r="C563" s="410"/>
      <c r="D563" s="637" t="s">
        <v>2059</v>
      </c>
      <c r="E563" s="638" t="s">
        <v>76</v>
      </c>
      <c r="F563" s="677"/>
      <c r="G563" s="413"/>
      <c r="H563" s="413"/>
      <c r="I563" s="413"/>
      <c r="J563" s="413"/>
      <c r="K563" s="498"/>
      <c r="L563" s="474"/>
      <c r="M563" s="471"/>
      <c r="N563" s="419"/>
      <c r="O563" s="541"/>
      <c r="P563" s="419"/>
      <c r="Q563" s="419"/>
      <c r="S563" s="414" t="str">
        <f t="shared" si="53"/>
        <v>ARMADURAS</v>
      </c>
    </row>
    <row r="564" spans="1:19" s="414" customFormat="1">
      <c r="A564" s="410" t="s">
        <v>147</v>
      </c>
      <c r="B564" s="673"/>
      <c r="C564" s="410"/>
      <c r="D564" s="637" t="s">
        <v>2060</v>
      </c>
      <c r="E564" s="638" t="s">
        <v>76</v>
      </c>
      <c r="F564" s="679"/>
      <c r="G564" s="413"/>
      <c r="H564" s="413"/>
      <c r="I564" s="413"/>
      <c r="J564" s="413"/>
      <c r="K564" s="498"/>
      <c r="L564" s="474"/>
      <c r="M564" s="471"/>
      <c r="N564" s="419"/>
      <c r="O564" s="541"/>
      <c r="P564" s="419"/>
      <c r="Q564" s="419"/>
      <c r="S564" s="414" t="str">
        <f t="shared" si="53"/>
        <v>ARMAÇÃO EM AÇO CA-50 PARA ESTRUTURAS DE CONCRETO.</v>
      </c>
    </row>
    <row r="565" spans="1:19" s="344" customFormat="1" ht="25.5">
      <c r="A565" s="49" t="s">
        <v>146</v>
      </c>
      <c r="B565" s="49">
        <f>'[3]Plan Tron'!B21</f>
        <v>92761</v>
      </c>
      <c r="C565" s="49" t="str">
        <f>'[3]Plan Tron'!C21</f>
        <v>SINAPI</v>
      </c>
      <c r="D565" s="614" t="str">
        <f>'[3]Plan Tron'!D21</f>
        <v>ARMAÇÃO DE PILAR OU VIGA DE UMA ESTRUTURA CONVENCIONAL DE CONCRETO ARMADO EM UM EDIFÍCIO DE MÚLTIPLOS PAVIMENTOS UTILIZANDO AÇO CA-50 DE 8.0MM - MONTAGEM. AF_12/2015</v>
      </c>
      <c r="E565" s="49" t="str">
        <f>'[3]Plan Tron'!E21</f>
        <v>KG</v>
      </c>
      <c r="F565" s="21">
        <v>14.7</v>
      </c>
      <c r="G565" s="10">
        <f>G85</f>
        <v>5.9</v>
      </c>
      <c r="H565" s="10">
        <f>'[3]Plan Tron'!F21</f>
        <v>9.44</v>
      </c>
      <c r="I565" s="10">
        <v>26.44</v>
      </c>
      <c r="J565" s="10">
        <f>ROUND(H565*(I565/100+1),2)</f>
        <v>11.94</v>
      </c>
      <c r="K565" s="383">
        <v>0</v>
      </c>
      <c r="L565" s="474">
        <f>F565-K565</f>
        <v>14.7</v>
      </c>
      <c r="M565" s="471">
        <f t="shared" si="58"/>
        <v>175.52</v>
      </c>
      <c r="N565" s="405"/>
      <c r="O565" s="541"/>
      <c r="P565" s="405"/>
      <c r="Q565" s="405"/>
      <c r="S565" s="344" t="str">
        <f t="shared" si="53"/>
        <v>ARMAÇÃO DE PILAR OU VIGA DE UMA ESTRUTURA CONVENCIONAL DE CONCRETO ARMADO EM UM EDIFÍCIO DE MÚLTIPLOS PAVIMENTOS UTILIZANDO AÇO CA-50 DE 8.0MM - MONTAGEM. AF_12/2015</v>
      </c>
    </row>
    <row r="566" spans="1:19" s="414" customFormat="1">
      <c r="A566" s="410" t="s">
        <v>18</v>
      </c>
      <c r="B566" s="646"/>
      <c r="C566" s="410"/>
      <c r="D566" s="647" t="s">
        <v>2061</v>
      </c>
      <c r="E566" s="648" t="s">
        <v>76</v>
      </c>
      <c r="F566" s="674"/>
      <c r="G566" s="413"/>
      <c r="H566" s="413"/>
      <c r="I566" s="413"/>
      <c r="J566" s="413"/>
      <c r="K566" s="498"/>
      <c r="L566" s="474"/>
      <c r="M566" s="471"/>
      <c r="N566" s="419"/>
      <c r="O566" s="541"/>
      <c r="P566" s="419"/>
      <c r="Q566" s="419"/>
      <c r="S566" s="414" t="str">
        <f t="shared" si="53"/>
        <v>CONCRETOS</v>
      </c>
    </row>
    <row r="567" spans="1:19" s="414" customFormat="1">
      <c r="A567" s="410" t="s">
        <v>201</v>
      </c>
      <c r="B567" s="673"/>
      <c r="C567" s="410"/>
      <c r="D567" s="637" t="s">
        <v>2062</v>
      </c>
      <c r="E567" s="638" t="s">
        <v>76</v>
      </c>
      <c r="F567" s="679"/>
      <c r="G567" s="413"/>
      <c r="H567" s="413"/>
      <c r="I567" s="413"/>
      <c r="J567" s="413"/>
      <c r="K567" s="498"/>
      <c r="L567" s="474"/>
      <c r="M567" s="471"/>
      <c r="N567" s="419"/>
      <c r="O567" s="541"/>
      <c r="P567" s="419"/>
      <c r="Q567" s="419"/>
      <c r="S567" s="414" t="str">
        <f t="shared" si="53"/>
        <v>CONCRETO BOMBEADO</v>
      </c>
    </row>
    <row r="568" spans="1:19" s="344" customFormat="1">
      <c r="A568" s="49" t="s">
        <v>888</v>
      </c>
      <c r="B568" s="49">
        <f>'[3]Plan Tron'!B27</f>
        <v>110132</v>
      </c>
      <c r="C568" s="49" t="str">
        <f>'[3]Plan Tron'!C27</f>
        <v>CPOS</v>
      </c>
      <c r="D568" s="612" t="str">
        <f>'[3]Plan Tron'!D27</f>
        <v xml:space="preserve">CONCRETO USINADO, FCK=30MPa - PARA BOMBEAMENTO </v>
      </c>
      <c r="E568" s="49" t="str">
        <f>'[3]Plan Tron'!E27</f>
        <v>M³</v>
      </c>
      <c r="F568" s="21">
        <v>0.15</v>
      </c>
      <c r="G568" s="10">
        <v>336.65</v>
      </c>
      <c r="H568" s="10">
        <f>'[3]Plan Tron'!F27</f>
        <v>311.94</v>
      </c>
      <c r="I568" s="10">
        <v>26.44</v>
      </c>
      <c r="J568" s="10">
        <f>ROUND(H568*(I568/100+1),2)</f>
        <v>394.42</v>
      </c>
      <c r="K568" s="383">
        <v>0</v>
      </c>
      <c r="L568" s="474">
        <f>F568-K568</f>
        <v>0.15</v>
      </c>
      <c r="M568" s="471">
        <f t="shared" si="58"/>
        <v>59.16</v>
      </c>
      <c r="N568" s="405"/>
      <c r="O568" s="541"/>
      <c r="P568" s="405"/>
      <c r="Q568" s="405"/>
      <c r="S568" s="344" t="str">
        <f t="shared" si="53"/>
        <v xml:space="preserve">CONCRETO USINADO, FCK=30MPA - PARA BOMBEAMENTO </v>
      </c>
    </row>
    <row r="569" spans="1:19" s="344" customFormat="1">
      <c r="A569" s="49"/>
      <c r="B569" s="17"/>
      <c r="C569" s="49"/>
      <c r="D569" s="17"/>
      <c r="E569" s="7"/>
      <c r="F569" s="10"/>
      <c r="G569" s="21"/>
      <c r="H569" s="21"/>
      <c r="I569" s="10"/>
      <c r="J569" s="10"/>
      <c r="K569" s="17"/>
      <c r="L569" s="474"/>
      <c r="M569" s="471"/>
      <c r="N569" s="405"/>
      <c r="O569" s="541"/>
      <c r="P569" s="405"/>
      <c r="Q569" s="405"/>
    </row>
    <row r="570" spans="1:19" s="344" customFormat="1">
      <c r="A570" s="49"/>
      <c r="B570" s="17"/>
      <c r="C570" s="49"/>
      <c r="D570" s="53" t="s">
        <v>76</v>
      </c>
      <c r="E570" s="7" t="s">
        <v>76</v>
      </c>
      <c r="F570" s="10"/>
      <c r="G570" s="10"/>
      <c r="H570" s="10"/>
      <c r="I570" s="10"/>
      <c r="J570" s="10"/>
      <c r="K570" s="383"/>
      <c r="L570" s="474"/>
      <c r="M570" s="471"/>
      <c r="N570" s="405"/>
      <c r="O570" s="541"/>
      <c r="P570" s="405"/>
      <c r="Q570" s="405"/>
      <c r="S570" s="344" t="str">
        <f>UPPER(D570)</f>
        <v/>
      </c>
    </row>
    <row r="571" spans="1:19" s="344" customFormat="1">
      <c r="A571" s="122">
        <v>2</v>
      </c>
      <c r="B571" s="123"/>
      <c r="C571" s="122"/>
      <c r="D571" s="180" t="s">
        <v>2107</v>
      </c>
      <c r="E571" s="119" t="s">
        <v>76</v>
      </c>
      <c r="F571" s="120"/>
      <c r="G571" s="121"/>
      <c r="H571" s="121"/>
      <c r="I571" s="10"/>
      <c r="J571" s="10"/>
      <c r="K571" s="383"/>
      <c r="L571" s="474"/>
      <c r="M571" s="471"/>
      <c r="N571" s="405"/>
      <c r="O571" s="541"/>
      <c r="P571" s="405"/>
      <c r="Q571" s="405"/>
      <c r="S571" s="344" t="str">
        <f>UPPER(D571)</f>
        <v>PINTURAS</v>
      </c>
    </row>
    <row r="572" spans="1:19" s="414" customFormat="1">
      <c r="A572" s="684" t="s">
        <v>9</v>
      </c>
      <c r="B572" s="411"/>
      <c r="C572" s="410"/>
      <c r="D572" s="429" t="s">
        <v>2113</v>
      </c>
      <c r="E572" s="617" t="s">
        <v>76</v>
      </c>
      <c r="F572" s="422"/>
      <c r="G572" s="422"/>
      <c r="H572" s="422"/>
      <c r="I572" s="413"/>
      <c r="J572" s="413"/>
      <c r="K572" s="498"/>
      <c r="L572" s="474"/>
      <c r="M572" s="471"/>
      <c r="N572" s="419"/>
      <c r="O572" s="541"/>
      <c r="P572" s="419"/>
      <c r="Q572" s="419"/>
      <c r="S572" s="414" t="str">
        <f>UPPER(D572)</f>
        <v>PINTURA EM CONCRETO APARENTE</v>
      </c>
    </row>
    <row r="573" spans="1:19" s="344" customFormat="1">
      <c r="A573" s="126" t="s">
        <v>348</v>
      </c>
      <c r="B573" s="49">
        <f>'[3]Plan Tron'!B75</f>
        <v>84678</v>
      </c>
      <c r="C573" s="49" t="str">
        <f>'[3]Plan Tron'!C75</f>
        <v>SINAPI</v>
      </c>
      <c r="D573" s="612" t="str">
        <f>'[3]Plan Tron'!D75</f>
        <v xml:space="preserve">VERNIZ POLIURETANO BRILHANTE EM CONCRETO OU TIJOLO, TRES DEMAOS </v>
      </c>
      <c r="E573" s="49" t="str">
        <f>'[3]Plan Tron'!E75</f>
        <v>M²</v>
      </c>
      <c r="F573" s="21">
        <v>1.01</v>
      </c>
      <c r="G573" s="21">
        <v>11.75</v>
      </c>
      <c r="H573" s="21">
        <f>'[3]Plan Tron'!F75</f>
        <v>16.84</v>
      </c>
      <c r="I573" s="10">
        <v>26.44</v>
      </c>
      <c r="J573" s="10">
        <f>ROUND(H573*(I573/100+1),2)</f>
        <v>21.29</v>
      </c>
      <c r="K573" s="383">
        <v>0</v>
      </c>
      <c r="L573" s="474">
        <f>F573-K573</f>
        <v>1.01</v>
      </c>
      <c r="M573" s="471">
        <f t="shared" si="58"/>
        <v>21.5</v>
      </c>
      <c r="N573" s="405"/>
      <c r="O573" s="541"/>
      <c r="P573" s="405"/>
      <c r="Q573" s="405"/>
      <c r="S573" s="344" t="str">
        <f>UPPER(D573)</f>
        <v xml:space="preserve">VERNIZ POLIURETANO BRILHANTE EM CONCRETO OU TIJOLO, TRES DEMAOS </v>
      </c>
    </row>
    <row r="574" spans="1:19">
      <c r="A574" s="49"/>
      <c r="B574" s="17"/>
      <c r="C574" s="49"/>
      <c r="D574" s="123"/>
      <c r="E574" s="7"/>
      <c r="F574" s="10"/>
      <c r="G574" s="10"/>
      <c r="H574" s="10"/>
      <c r="I574" s="10"/>
      <c r="J574" s="10"/>
      <c r="K574" s="123"/>
      <c r="L574" s="474"/>
      <c r="M574" s="471"/>
      <c r="N574" s="405"/>
      <c r="O574" s="541"/>
      <c r="P574" s="405"/>
      <c r="Q574" s="405"/>
    </row>
    <row r="575" spans="1:19">
      <c r="A575" s="49"/>
      <c r="B575" s="17"/>
      <c r="C575" s="49"/>
      <c r="D575" s="53" t="s">
        <v>76</v>
      </c>
      <c r="E575" s="7" t="s">
        <v>76</v>
      </c>
      <c r="F575" s="10"/>
      <c r="G575" s="21"/>
      <c r="H575" s="21"/>
      <c r="I575" s="10"/>
      <c r="J575" s="10"/>
      <c r="K575" s="383"/>
      <c r="L575" s="474"/>
      <c r="M575" s="471"/>
      <c r="N575" s="405"/>
      <c r="O575" s="541"/>
      <c r="P575" s="405"/>
      <c r="Q575" s="405"/>
      <c r="S575" s="344" t="str">
        <f>UPPER(D575)</f>
        <v/>
      </c>
    </row>
    <row r="576" spans="1:19">
      <c r="A576" s="67">
        <v>3</v>
      </c>
      <c r="B576" s="71"/>
      <c r="C576" s="67"/>
      <c r="D576" s="400" t="s">
        <v>2109</v>
      </c>
      <c r="E576" s="32" t="s">
        <v>76</v>
      </c>
      <c r="F576" s="8"/>
      <c r="G576" s="62"/>
      <c r="H576" s="62"/>
      <c r="I576" s="10"/>
      <c r="J576" s="10"/>
      <c r="K576" s="383"/>
      <c r="L576" s="474"/>
      <c r="M576" s="471"/>
      <c r="N576" s="405"/>
      <c r="O576" s="541"/>
      <c r="P576" s="405"/>
      <c r="Q576" s="405"/>
      <c r="S576" s="344" t="str">
        <f>UPPER(D576)</f>
        <v>MONTAGEM DE MATERIAIS E EQUIPAMENTOS HIDRÁULICOS, HIDROMECÂNICOS E DIVERSOS</v>
      </c>
    </row>
    <row r="577" spans="1:37" s="344" customFormat="1" ht="25.5">
      <c r="A577" s="69" t="s">
        <v>144</v>
      </c>
      <c r="B577" s="11" t="s">
        <v>308</v>
      </c>
      <c r="C577" s="69"/>
      <c r="D577" s="84" t="s">
        <v>2170</v>
      </c>
      <c r="E577" s="24" t="s">
        <v>2339</v>
      </c>
      <c r="F577" s="10">
        <v>1</v>
      </c>
      <c r="G577" s="21">
        <v>3735.2799999999997</v>
      </c>
      <c r="H577" s="9">
        <f t="shared" ref="H577" si="59">G577*$P$7</f>
        <v>4315.3689839999997</v>
      </c>
      <c r="I577" s="10">
        <v>26.44</v>
      </c>
      <c r="J577" s="10">
        <f>ROUND(H577*(I577/100+1),2)</f>
        <v>5456.35</v>
      </c>
      <c r="K577" s="383">
        <v>0</v>
      </c>
      <c r="L577" s="474">
        <f>F577-K577</f>
        <v>1</v>
      </c>
      <c r="M577" s="471">
        <f t="shared" si="58"/>
        <v>5456.35</v>
      </c>
      <c r="N577" s="405"/>
      <c r="O577" s="541"/>
      <c r="P577" s="405"/>
      <c r="Q577" s="405"/>
      <c r="S577" s="344" t="str">
        <f>UPPER(D577)</f>
        <v>MONTAGEM HIDRÁULICA E HIDROMECÂNICA DE EQUIPAMENTOS, VÁLVULAS, TUBOS, PEÇAS E ACESSÓRIOS DA LISTA DE MATERIAIS DA ESTAÇÃO ELEVATÓRIA DE LODO.</v>
      </c>
    </row>
    <row r="578" spans="1:37" s="344" customFormat="1">
      <c r="A578" s="69"/>
      <c r="B578" s="112"/>
      <c r="C578" s="69"/>
      <c r="D578" s="112"/>
      <c r="E578" s="32"/>
      <c r="F578" s="8"/>
      <c r="G578" s="8"/>
      <c r="H578" s="8"/>
      <c r="I578" s="8"/>
      <c r="J578" s="8"/>
      <c r="K578" s="112"/>
      <c r="L578" s="474"/>
      <c r="M578" s="472"/>
      <c r="N578" s="405"/>
      <c r="O578" s="541"/>
      <c r="P578" s="405"/>
      <c r="Q578" s="405"/>
    </row>
    <row r="579" spans="1:37">
      <c r="A579" s="69"/>
      <c r="B579" s="112"/>
      <c r="C579" s="69"/>
      <c r="D579" s="112"/>
      <c r="E579" s="32"/>
      <c r="F579" s="8"/>
      <c r="G579" s="317"/>
      <c r="H579" s="8"/>
      <c r="I579" s="8"/>
      <c r="J579" s="8"/>
      <c r="K579" s="112"/>
      <c r="L579" s="474"/>
      <c r="M579" s="471"/>
      <c r="N579" s="405"/>
      <c r="O579" s="541"/>
      <c r="P579" s="405"/>
      <c r="Q579" s="405"/>
    </row>
    <row r="580" spans="1:37" s="299" customFormat="1">
      <c r="A580" s="297"/>
      <c r="B580" s="298"/>
      <c r="C580" s="298"/>
      <c r="D580" s="511" t="s">
        <v>2358</v>
      </c>
      <c r="E580" s="297"/>
      <c r="F580" s="298"/>
      <c r="G580" s="301"/>
      <c r="H580" s="338"/>
      <c r="I580" s="298"/>
      <c r="J580" s="298"/>
      <c r="K580" s="511"/>
      <c r="L580" s="508"/>
      <c r="M580" s="505">
        <f>SUM(M562:M578)</f>
        <v>5839.0400000000009</v>
      </c>
      <c r="N580" s="405"/>
      <c r="O580" s="541"/>
      <c r="P580" s="405"/>
      <c r="Q580" s="405"/>
      <c r="R580" s="388"/>
      <c r="S580" s="344" t="str">
        <f t="shared" ref="S580:S594" si="60">UPPER(D580)</f>
        <v>TOTAL ITEM 16</v>
      </c>
      <c r="T580" s="388"/>
      <c r="U580" s="388"/>
      <c r="V580" s="388"/>
      <c r="W580" s="388"/>
      <c r="X580" s="388"/>
      <c r="Y580" s="388"/>
      <c r="Z580" s="388"/>
      <c r="AA580" s="388"/>
      <c r="AB580" s="388"/>
      <c r="AC580" s="388"/>
      <c r="AD580" s="388"/>
      <c r="AE580" s="388"/>
      <c r="AF580" s="388"/>
      <c r="AG580" s="388"/>
      <c r="AH580" s="388"/>
      <c r="AI580" s="388"/>
      <c r="AJ580" s="388"/>
      <c r="AK580" s="388"/>
    </row>
    <row r="581" spans="1:37" s="299" customFormat="1">
      <c r="A581" s="297"/>
      <c r="B581" s="298"/>
      <c r="C581" s="298"/>
      <c r="D581" s="442" t="s">
        <v>76</v>
      </c>
      <c r="E581" s="297" t="s">
        <v>76</v>
      </c>
      <c r="F581" s="298"/>
      <c r="G581" s="301"/>
      <c r="H581" s="338"/>
      <c r="I581" s="298"/>
      <c r="J581" s="298"/>
      <c r="K581" s="341"/>
      <c r="L581" s="474"/>
      <c r="M581" s="471"/>
      <c r="N581" s="405"/>
      <c r="O581" s="541"/>
      <c r="P581" s="405"/>
      <c r="Q581" s="405"/>
      <c r="R581" s="388"/>
      <c r="S581" s="344" t="str">
        <f t="shared" si="60"/>
        <v/>
      </c>
      <c r="T581" s="388"/>
      <c r="U581" s="388"/>
      <c r="V581" s="388"/>
      <c r="W581" s="388"/>
      <c r="X581" s="388"/>
      <c r="Y581" s="388"/>
      <c r="Z581" s="388"/>
      <c r="AA581" s="388"/>
      <c r="AB581" s="388"/>
      <c r="AC581" s="388"/>
      <c r="AD581" s="388"/>
      <c r="AE581" s="388"/>
      <c r="AF581" s="388"/>
      <c r="AG581" s="388"/>
      <c r="AH581" s="388"/>
      <c r="AI581" s="388"/>
      <c r="AJ581" s="388"/>
      <c r="AK581" s="388"/>
    </row>
    <row r="582" spans="1:37" s="450" customFormat="1">
      <c r="A582" s="445">
        <v>18</v>
      </c>
      <c r="B582" s="446"/>
      <c r="C582" s="447"/>
      <c r="D582" s="448" t="s">
        <v>1965</v>
      </c>
      <c r="E582" s="453" t="s">
        <v>76</v>
      </c>
      <c r="F582" s="446"/>
      <c r="G582" s="446"/>
      <c r="H582" s="446"/>
      <c r="I582" s="446"/>
      <c r="J582" s="446"/>
      <c r="K582" s="473"/>
      <c r="L582" s="478"/>
      <c r="M582" s="479"/>
      <c r="N582" s="454"/>
      <c r="O582" s="541"/>
      <c r="P582" s="454"/>
      <c r="Q582" s="454"/>
      <c r="S582" s="450" t="str">
        <f t="shared" si="60"/>
        <v>CASA DE QUÍMICA E BACIAS DE CONTENÇÃO</v>
      </c>
    </row>
    <row r="583" spans="1:37" s="450" customFormat="1">
      <c r="A583" s="445" t="s">
        <v>60</v>
      </c>
      <c r="B583" s="446"/>
      <c r="C583" s="447"/>
      <c r="D583" s="448" t="s">
        <v>1996</v>
      </c>
      <c r="E583" s="453" t="s">
        <v>76</v>
      </c>
      <c r="F583" s="446"/>
      <c r="G583" s="446"/>
      <c r="H583" s="446"/>
      <c r="I583" s="446"/>
      <c r="J583" s="446"/>
      <c r="K583" s="473"/>
      <c r="L583" s="478"/>
      <c r="M583" s="479"/>
      <c r="N583" s="454"/>
      <c r="O583" s="541"/>
      <c r="P583" s="454"/>
      <c r="Q583" s="454"/>
      <c r="S583" s="450" t="str">
        <f t="shared" si="60"/>
        <v>CASA DE QUÍMICA (CASA DE QUÍMICA E BACIAS DE CONTENÇÃO)</v>
      </c>
    </row>
    <row r="584" spans="1:37" s="344" customFormat="1">
      <c r="A584" s="296"/>
      <c r="B584" s="44"/>
      <c r="C584" s="44"/>
      <c r="D584" s="438" t="s">
        <v>76</v>
      </c>
      <c r="E584" s="296" t="s">
        <v>76</v>
      </c>
      <c r="F584" s="44"/>
      <c r="G584" s="302"/>
      <c r="H584" s="339"/>
      <c r="I584" s="44"/>
      <c r="J584" s="44"/>
      <c r="K584" s="383"/>
      <c r="L584" s="474"/>
      <c r="M584" s="471"/>
      <c r="N584" s="405"/>
      <c r="O584" s="541"/>
      <c r="P584" s="405"/>
      <c r="Q584" s="405"/>
      <c r="S584" s="344" t="str">
        <f t="shared" si="60"/>
        <v/>
      </c>
    </row>
    <row r="585" spans="1:37" s="344" customFormat="1">
      <c r="A585" s="45">
        <v>1</v>
      </c>
      <c r="B585" s="25"/>
      <c r="C585" s="45"/>
      <c r="D585" s="399" t="s">
        <v>2038</v>
      </c>
      <c r="E585" s="24" t="s">
        <v>76</v>
      </c>
      <c r="F585" s="21"/>
      <c r="G585" s="9"/>
      <c r="H585" s="9"/>
      <c r="I585" s="9"/>
      <c r="J585" s="9"/>
      <c r="K585" s="383"/>
      <c r="L585" s="474"/>
      <c r="M585" s="471"/>
      <c r="N585" s="405"/>
      <c r="O585" s="541"/>
      <c r="P585" s="405"/>
      <c r="Q585" s="405"/>
      <c r="S585" s="344" t="str">
        <f t="shared" si="60"/>
        <v>MOVIMENTO DE TERRA</v>
      </c>
    </row>
    <row r="586" spans="1:37" s="414" customFormat="1">
      <c r="A586" s="410" t="s">
        <v>20</v>
      </c>
      <c r="B586" s="411"/>
      <c r="C586" s="410"/>
      <c r="D586" s="434" t="s">
        <v>2041</v>
      </c>
      <c r="E586" s="424" t="s">
        <v>76</v>
      </c>
      <c r="F586" s="422"/>
      <c r="G586" s="412"/>
      <c r="H586" s="412"/>
      <c r="I586" s="412"/>
      <c r="J586" s="412"/>
      <c r="K586" s="498"/>
      <c r="L586" s="474"/>
      <c r="M586" s="471"/>
      <c r="N586" s="419"/>
      <c r="O586" s="541"/>
      <c r="P586" s="419"/>
      <c r="Q586" s="419"/>
      <c r="S586" s="414" t="str">
        <f t="shared" si="60"/>
        <v>ESCAVAÇÃO DE VALAS</v>
      </c>
    </row>
    <row r="587" spans="1:37" s="414" customFormat="1">
      <c r="A587" s="410" t="s">
        <v>153</v>
      </c>
      <c r="B587" s="411"/>
      <c r="C587" s="410"/>
      <c r="D587" s="434" t="s">
        <v>2042</v>
      </c>
      <c r="E587" s="424" t="s">
        <v>76</v>
      </c>
      <c r="F587" s="422"/>
      <c r="G587" s="412"/>
      <c r="H587" s="412"/>
      <c r="I587" s="412"/>
      <c r="J587" s="412"/>
      <c r="K587" s="498"/>
      <c r="L587" s="474"/>
      <c r="M587" s="471"/>
      <c r="N587" s="419"/>
      <c r="O587" s="541"/>
      <c r="P587" s="419"/>
      <c r="Q587" s="419"/>
      <c r="S587" s="414" t="str">
        <f t="shared" si="60"/>
        <v>ESCAVAÇÃO MECÂNICA DE CAVAS</v>
      </c>
    </row>
    <row r="588" spans="1:37" s="344" customFormat="1">
      <c r="A588" s="49" t="s">
        <v>152</v>
      </c>
      <c r="B588" s="49">
        <f>'[3]Plan Tron'!B7</f>
        <v>60202</v>
      </c>
      <c r="C588" s="49" t="str">
        <f>'[3]Plan Tron'!C7</f>
        <v>CPOS</v>
      </c>
      <c r="D588" s="645" t="str">
        <f>'[3]Plan Tron'!D7</f>
        <v xml:space="preserve">ESCAVAÇÃO MANUAL EM SOLO DE 1ª E 2ª CATEGORIA EM VALA OU CAVA ATÉ 1,50M </v>
      </c>
      <c r="E588" s="77" t="str">
        <f>'[3]Plan Tron'!E7</f>
        <v>M³</v>
      </c>
      <c r="F588" s="21">
        <v>497.05</v>
      </c>
      <c r="G588" s="9">
        <f>G50</f>
        <v>10.220000000000001</v>
      </c>
      <c r="H588" s="9">
        <f>'[3]Plan Tron'!F7</f>
        <v>34.020000000000003</v>
      </c>
      <c r="I588" s="9">
        <v>26.44</v>
      </c>
      <c r="J588" s="9">
        <f>ROUND(H588*(I588/100+1),2)</f>
        <v>43.01</v>
      </c>
      <c r="K588" s="383">
        <v>497.04500000000002</v>
      </c>
      <c r="L588" s="474">
        <f>F588-K588</f>
        <v>4.9999999999954525E-3</v>
      </c>
      <c r="M588" s="471">
        <f t="shared" ref="M588:M650" si="61">ROUND(L588*J588,2)</f>
        <v>0.22</v>
      </c>
      <c r="N588" s="405"/>
      <c r="O588" s="541"/>
      <c r="P588" s="405"/>
      <c r="Q588" s="405"/>
      <c r="S588" s="344" t="str">
        <f t="shared" si="60"/>
        <v xml:space="preserve">ESCAVAÇÃO MANUAL EM SOLO DE 1ª E 2ª CATEGORIA EM VALA OU CAVA ATÉ 1,50M </v>
      </c>
    </row>
    <row r="589" spans="1:37" s="414" customFormat="1">
      <c r="A589" s="410" t="s">
        <v>19</v>
      </c>
      <c r="B589" s="411"/>
      <c r="C589" s="410"/>
      <c r="D589" s="434" t="s">
        <v>2111</v>
      </c>
      <c r="E589" s="424"/>
      <c r="F589" s="422"/>
      <c r="G589" s="412"/>
      <c r="H589" s="412"/>
      <c r="I589" s="412"/>
      <c r="J589" s="412"/>
      <c r="K589" s="498"/>
      <c r="L589" s="474"/>
      <c r="M589" s="471"/>
      <c r="N589" s="419"/>
      <c r="O589" s="541"/>
      <c r="P589" s="419"/>
      <c r="Q589" s="419"/>
      <c r="S589" s="414" t="str">
        <f t="shared" si="60"/>
        <v>ATERRO / REATERRO DE VALAS COM OU S/ COMPACTAÇÃO.</v>
      </c>
    </row>
    <row r="590" spans="1:37" s="414" customFormat="1">
      <c r="A590" s="410" t="s">
        <v>147</v>
      </c>
      <c r="B590" s="411"/>
      <c r="C590" s="410"/>
      <c r="D590" s="434" t="s">
        <v>2045</v>
      </c>
      <c r="E590" s="424"/>
      <c r="F590" s="422"/>
      <c r="G590" s="412"/>
      <c r="H590" s="412"/>
      <c r="I590" s="412"/>
      <c r="J590" s="412"/>
      <c r="K590" s="498"/>
      <c r="L590" s="474"/>
      <c r="M590" s="471"/>
      <c r="N590" s="419"/>
      <c r="O590" s="541"/>
      <c r="P590" s="419"/>
      <c r="Q590" s="419"/>
      <c r="S590" s="414" t="str">
        <f t="shared" si="60"/>
        <v>REATERRO DE VALAS</v>
      </c>
    </row>
    <row r="591" spans="1:37" s="344" customFormat="1">
      <c r="A591" s="49" t="s">
        <v>146</v>
      </c>
      <c r="B591" s="49" t="str">
        <f>'[3]Plan Tron'!B12</f>
        <v xml:space="preserve">73964/006 </v>
      </c>
      <c r="C591" s="49" t="str">
        <f>'[3]Plan Tron'!C12</f>
        <v>SINAPI</v>
      </c>
      <c r="D591" s="612" t="str">
        <f>'[3]Plan Tron'!D12</f>
        <v xml:space="preserve">REATERRO DE VALA COM COMPACTAÇÃO MANUAL </v>
      </c>
      <c r="E591" s="49" t="str">
        <f>'[3]Plan Tron'!E12</f>
        <v>M³</v>
      </c>
      <c r="F591" s="21">
        <v>398.27</v>
      </c>
      <c r="G591" s="9">
        <v>20.67</v>
      </c>
      <c r="H591" s="9">
        <f>'[3]Plan Tron'!F12</f>
        <v>49.62</v>
      </c>
      <c r="I591" s="9">
        <v>26.44</v>
      </c>
      <c r="J591" s="9">
        <f>ROUND(H591*(I591/100+1),2)</f>
        <v>62.74</v>
      </c>
      <c r="K591" s="631">
        <v>398.274</v>
      </c>
      <c r="L591" s="632">
        <f>F591-K591</f>
        <v>-4.0000000000190994E-3</v>
      </c>
      <c r="M591" s="471"/>
      <c r="N591" s="405"/>
      <c r="O591" s="541"/>
      <c r="P591" s="405"/>
      <c r="Q591" s="405"/>
      <c r="S591" s="344" t="str">
        <f t="shared" si="60"/>
        <v xml:space="preserve">REATERRO DE VALA COM COMPACTAÇÃO MANUAL </v>
      </c>
    </row>
    <row r="592" spans="1:37" s="344" customFormat="1">
      <c r="A592" s="49" t="s">
        <v>18</v>
      </c>
      <c r="B592" s="11"/>
      <c r="C592" s="49"/>
      <c r="D592" s="434" t="s">
        <v>2046</v>
      </c>
      <c r="E592" s="24"/>
      <c r="F592" s="21"/>
      <c r="G592" s="9"/>
      <c r="H592" s="9"/>
      <c r="I592" s="9"/>
      <c r="J592" s="9"/>
      <c r="K592" s="383"/>
      <c r="L592" s="474"/>
      <c r="M592" s="471"/>
      <c r="N592" s="405"/>
      <c r="O592" s="541"/>
      <c r="P592" s="405"/>
      <c r="Q592" s="405"/>
      <c r="S592" s="344" t="str">
        <f t="shared" si="60"/>
        <v>CARGA, DESCARGA E/OU TRANSPORTE DE MATERIAIS</v>
      </c>
    </row>
    <row r="593" spans="1:19" s="344" customFormat="1">
      <c r="A593" s="49" t="s">
        <v>201</v>
      </c>
      <c r="B593" s="49">
        <f>'[3]Plan Tron'!B13</f>
        <v>72885</v>
      </c>
      <c r="C593" s="49" t="str">
        <f>'[3]Plan Tron'!C13</f>
        <v>SINAPI</v>
      </c>
      <c r="D593" s="614" t="str">
        <f>'[3]Plan Tron'!D13</f>
        <v>TRANSPORTE COMERCIAL COM CAMINHAO BASCULANTE 6 M3, RODOVIA EM LEITO NATURAL</v>
      </c>
      <c r="E593" s="49" t="str">
        <f>'[3]Plan Tron'!E13</f>
        <v>M³ X KM</v>
      </c>
      <c r="F593" s="21">
        <v>493.88</v>
      </c>
      <c r="G593" s="9">
        <v>1.03</v>
      </c>
      <c r="H593" s="9">
        <f>'[3]Plan Tron'!F13</f>
        <v>1.37</v>
      </c>
      <c r="I593" s="9">
        <v>26.44</v>
      </c>
      <c r="J593" s="9">
        <f>ROUND(H593*(I593/100+1),2)</f>
        <v>1.73</v>
      </c>
      <c r="K593" s="383">
        <v>0</v>
      </c>
      <c r="L593" s="474">
        <f>F593-K593</f>
        <v>493.88</v>
      </c>
      <c r="M593" s="471">
        <f t="shared" si="61"/>
        <v>854.41</v>
      </c>
      <c r="N593" s="405"/>
      <c r="O593" s="541"/>
      <c r="P593" s="405"/>
      <c r="Q593" s="405"/>
      <c r="S593" s="344" t="str">
        <f t="shared" si="60"/>
        <v>TRANSPORTE COMERCIAL COM CAMINHAO BASCULANTE 6 M3, RODOVIA EM LEITO NATURAL</v>
      </c>
    </row>
    <row r="594" spans="1:19" s="344" customFormat="1" ht="25.5" hidden="1">
      <c r="A594" s="49" t="s">
        <v>198</v>
      </c>
      <c r="B594" s="49">
        <f>'[3]Plan Tron'!B14</f>
        <v>72888</v>
      </c>
      <c r="C594" s="49" t="str">
        <f>'[3]Plan Tron'!C14</f>
        <v>SINAPI</v>
      </c>
      <c r="D594" s="614" t="str">
        <f>'[3]Plan Tron'!D14</f>
        <v>CARGA, MANOBRAS E DESCARGA DE AREIA, BRITA, PEDRA DE MAO E SOLOS COM CAMINHAO BASCULANTE 6 M3 (DESCARGA LIVRE)</v>
      </c>
      <c r="E594" s="49" t="str">
        <f>'[3]Plan Tron'!E14</f>
        <v>M³</v>
      </c>
      <c r="F594" s="21">
        <v>98.78</v>
      </c>
      <c r="G594" s="9">
        <v>0.81</v>
      </c>
      <c r="H594" s="9">
        <f>'[3]Plan Tron'!F14</f>
        <v>0.96</v>
      </c>
      <c r="I594" s="9">
        <v>26.44</v>
      </c>
      <c r="J594" s="9">
        <f>ROUND(H594*(I594/100+1),2)</f>
        <v>1.21</v>
      </c>
      <c r="K594" s="383">
        <v>98.78</v>
      </c>
      <c r="L594" s="474">
        <f>F594-K594</f>
        <v>0</v>
      </c>
      <c r="M594" s="471">
        <f t="shared" si="61"/>
        <v>0</v>
      </c>
      <c r="N594" s="405"/>
      <c r="O594" s="541"/>
      <c r="P594" s="405"/>
      <c r="Q594" s="405"/>
      <c r="S594" s="344" t="str">
        <f t="shared" si="60"/>
        <v>CARGA, MANOBRAS E DESCARGA DE AREIA, BRITA, PEDRA DE MAO E SOLOS COM CAMINHAO BASCULANTE 6 M3 (DESCARGA LIVRE)</v>
      </c>
    </row>
    <row r="595" spans="1:19" s="344" customFormat="1">
      <c r="A595" s="49"/>
      <c r="B595" s="17"/>
      <c r="C595" s="49"/>
      <c r="D595" s="17"/>
      <c r="E595" s="7"/>
      <c r="F595" s="10"/>
      <c r="G595" s="27"/>
      <c r="H595" s="27"/>
      <c r="I595" s="9"/>
      <c r="J595" s="9"/>
      <c r="K595" s="17"/>
      <c r="L595" s="474"/>
      <c r="M595" s="471"/>
      <c r="N595" s="405"/>
      <c r="O595" s="541"/>
      <c r="P595" s="405"/>
      <c r="Q595" s="405"/>
    </row>
    <row r="596" spans="1:19" s="344" customFormat="1">
      <c r="A596" s="49"/>
      <c r="B596" s="17"/>
      <c r="C596" s="49"/>
      <c r="D596" s="53" t="s">
        <v>76</v>
      </c>
      <c r="E596" s="7"/>
      <c r="F596" s="10"/>
      <c r="G596" s="27"/>
      <c r="H596" s="27"/>
      <c r="I596" s="9"/>
      <c r="J596" s="9"/>
      <c r="K596" s="383"/>
      <c r="L596" s="474"/>
      <c r="M596" s="471"/>
      <c r="N596" s="405"/>
      <c r="O596" s="541"/>
      <c r="P596" s="405"/>
      <c r="Q596" s="405"/>
      <c r="S596" s="344" t="str">
        <f t="shared" ref="S596:S625" si="62">UPPER(D596)</f>
        <v/>
      </c>
    </row>
    <row r="597" spans="1:19" s="344" customFormat="1">
      <c r="A597" s="45">
        <v>2</v>
      </c>
      <c r="B597" s="23"/>
      <c r="C597" s="45"/>
      <c r="D597" s="399" t="s">
        <v>2054</v>
      </c>
      <c r="E597" s="24"/>
      <c r="F597" s="21"/>
      <c r="G597" s="9"/>
      <c r="H597" s="9"/>
      <c r="I597" s="9"/>
      <c r="J597" s="9"/>
      <c r="K597" s="383"/>
      <c r="L597" s="474"/>
      <c r="M597" s="471"/>
      <c r="N597" s="405"/>
      <c r="O597" s="541"/>
      <c r="P597" s="405"/>
      <c r="Q597" s="405"/>
      <c r="S597" s="344" t="str">
        <f t="shared" si="62"/>
        <v>FUNDAÇÕES E ESTRUTURAS</v>
      </c>
    </row>
    <row r="598" spans="1:19" s="414" customFormat="1" hidden="1">
      <c r="A598" s="410" t="s">
        <v>9</v>
      </c>
      <c r="B598" s="425"/>
      <c r="C598" s="410"/>
      <c r="D598" s="426" t="s">
        <v>2112</v>
      </c>
      <c r="E598" s="424"/>
      <c r="F598" s="422"/>
      <c r="G598" s="412"/>
      <c r="H598" s="412"/>
      <c r="I598" s="412"/>
      <c r="J598" s="412"/>
      <c r="K598" s="498"/>
      <c r="L598" s="474"/>
      <c r="M598" s="471"/>
      <c r="N598" s="419"/>
      <c r="O598" s="541"/>
      <c r="P598" s="419"/>
      <c r="Q598" s="419"/>
      <c r="S598" s="414" t="str">
        <f t="shared" si="62"/>
        <v>ESTACAS</v>
      </c>
    </row>
    <row r="599" spans="1:19" s="344" customFormat="1" ht="25.5" hidden="1">
      <c r="A599" s="49" t="s">
        <v>348</v>
      </c>
      <c r="B599" s="49">
        <f>'[3]Plan Tron'!B73</f>
        <v>90808</v>
      </c>
      <c r="C599" s="49" t="str">
        <f>'[3]Plan Tron'!C73</f>
        <v>SINAPI</v>
      </c>
      <c r="D599" s="614" t="str">
        <f>'[3]Plan Tron'!D73</f>
        <v>ESTACA HÉLICE CONTÍNUA, DIÂMETRO DE 30 CM, COMPRIMENTO TOTAL ATÉ 15 M, PERFURATRIZ COM TORQUE DE 170 KN.M (EXCLUSIVE MOBILIZAÇÃO E DESMOBILIZAÇÃO). AF_02/2015</v>
      </c>
      <c r="E599" s="49" t="str">
        <f>'[3]Plan Tron'!E73</f>
        <v>M</v>
      </c>
      <c r="F599" s="21">
        <v>840</v>
      </c>
      <c r="G599" s="9">
        <v>21</v>
      </c>
      <c r="H599" s="9">
        <f>'[3]Plan Tron'!F73</f>
        <v>59.34</v>
      </c>
      <c r="I599" s="9">
        <v>26.44</v>
      </c>
      <c r="J599" s="9">
        <f>ROUND(H599*(I599/100+1),2)</f>
        <v>75.03</v>
      </c>
      <c r="K599" s="712">
        <v>840</v>
      </c>
      <c r="L599" s="474">
        <f>F599-K599</f>
        <v>0</v>
      </c>
      <c r="M599" s="471">
        <f t="shared" si="61"/>
        <v>0</v>
      </c>
      <c r="N599" s="405"/>
      <c r="O599" s="541"/>
      <c r="P599" s="405"/>
      <c r="Q599" s="405"/>
      <c r="S599" s="344" t="str">
        <f t="shared" si="62"/>
        <v>ESTACA HÉLICE CONTÍNUA, DIÂMETRO DE 30 CM, COMPRIMENTO TOTAL ATÉ 15 M, PERFURATRIZ COM TORQUE DE 170 KN.M (EXCLUSIVE MOBILIZAÇÃO E DESMOBILIZAÇÃO). AF_02/2015</v>
      </c>
    </row>
    <row r="600" spans="1:19" s="414" customFormat="1" hidden="1">
      <c r="A600" s="410" t="s">
        <v>8</v>
      </c>
      <c r="B600" s="425"/>
      <c r="C600" s="410"/>
      <c r="D600" s="426" t="s">
        <v>2055</v>
      </c>
      <c r="E600" s="424"/>
      <c r="F600" s="422"/>
      <c r="G600" s="412"/>
      <c r="H600" s="412"/>
      <c r="I600" s="412"/>
      <c r="J600" s="412"/>
      <c r="K600" s="498"/>
      <c r="L600" s="474"/>
      <c r="M600" s="471"/>
      <c r="N600" s="419"/>
      <c r="O600" s="541"/>
      <c r="P600" s="419"/>
      <c r="Q600" s="419"/>
      <c r="S600" s="414" t="str">
        <f t="shared" si="62"/>
        <v>LASTROS / FUNDAÇÕES DIRETAS</v>
      </c>
    </row>
    <row r="601" spans="1:19" s="414" customFormat="1" hidden="1">
      <c r="A601" s="410" t="s">
        <v>317</v>
      </c>
      <c r="B601" s="425"/>
      <c r="C601" s="410"/>
      <c r="D601" s="426" t="s">
        <v>2056</v>
      </c>
      <c r="E601" s="424"/>
      <c r="F601" s="422"/>
      <c r="G601" s="412"/>
      <c r="H601" s="412"/>
      <c r="I601" s="412"/>
      <c r="J601" s="412"/>
      <c r="K601" s="498"/>
      <c r="L601" s="474"/>
      <c r="M601" s="471"/>
      <c r="N601" s="419"/>
      <c r="O601" s="541"/>
      <c r="P601" s="419"/>
      <c r="Q601" s="419"/>
      <c r="S601" s="414" t="str">
        <f t="shared" si="62"/>
        <v>LASTRO DE PEDRA BRITADA E FUNDAÇÕES EM BALDRAME.</v>
      </c>
    </row>
    <row r="602" spans="1:19" s="344" customFormat="1" hidden="1">
      <c r="A602" s="49" t="s">
        <v>318</v>
      </c>
      <c r="B602" s="49">
        <f>'[3]Plan Tron'!B18</f>
        <v>6514</v>
      </c>
      <c r="C602" s="49" t="str">
        <f>'[3]Plan Tron'!C18</f>
        <v>SINAPI</v>
      </c>
      <c r="D602" s="137" t="str">
        <f>'[3]Plan Tron'!D18</f>
        <v xml:space="preserve">FORNECIMENTO E LANCAMENTO DE BRITA N. 4 </v>
      </c>
      <c r="E602" s="18" t="str">
        <f>'[3]Plan Tron'!E18</f>
        <v>M³</v>
      </c>
      <c r="F602" s="21">
        <v>16.95</v>
      </c>
      <c r="G602" s="9">
        <f>G78</f>
        <v>74.28</v>
      </c>
      <c r="H602" s="9">
        <f>'[3]Plan Tron'!F18</f>
        <v>88.38</v>
      </c>
      <c r="I602" s="9">
        <v>26.44</v>
      </c>
      <c r="J602" s="9">
        <f>ROUND(H602*(I602/100+1),2)</f>
        <v>111.75</v>
      </c>
      <c r="K602" s="383">
        <v>16.95</v>
      </c>
      <c r="L602" s="474">
        <f>F602-K602</f>
        <v>0</v>
      </c>
      <c r="M602" s="471">
        <f t="shared" si="61"/>
        <v>0</v>
      </c>
      <c r="N602" s="405"/>
      <c r="O602" s="541"/>
      <c r="P602" s="405"/>
      <c r="Q602" s="405"/>
      <c r="S602" s="344" t="str">
        <f t="shared" si="62"/>
        <v xml:space="preserve">FORNECIMENTO E LANCAMENTO DE BRITA N. 4 </v>
      </c>
    </row>
    <row r="603" spans="1:19" s="414" customFormat="1">
      <c r="A603" s="410" t="s">
        <v>7</v>
      </c>
      <c r="B603" s="646"/>
      <c r="C603" s="410"/>
      <c r="D603" s="647" t="s">
        <v>2058</v>
      </c>
      <c r="E603" s="648"/>
      <c r="F603" s="649"/>
      <c r="G603" s="412"/>
      <c r="H603" s="412"/>
      <c r="I603" s="412"/>
      <c r="J603" s="412"/>
      <c r="K603" s="498"/>
      <c r="L603" s="474"/>
      <c r="M603" s="471"/>
      <c r="N603" s="419"/>
      <c r="O603" s="541"/>
      <c r="P603" s="419"/>
      <c r="Q603" s="419"/>
      <c r="S603" s="414" t="str">
        <f t="shared" si="62"/>
        <v>FORMAS / CIMBRAMENTOS / ESCORAMENTOS</v>
      </c>
    </row>
    <row r="604" spans="1:19" s="344" customFormat="1">
      <c r="A604" s="49" t="s">
        <v>314</v>
      </c>
      <c r="B604" s="49">
        <f>'[3]Plan Tron'!B20</f>
        <v>5651</v>
      </c>
      <c r="C604" s="49" t="str">
        <f>'[3]Plan Tron'!C20</f>
        <v>SINAPI</v>
      </c>
      <c r="D604" s="612" t="str">
        <f>'[3]Plan Tron'!D20</f>
        <v>FORMA DE MADEIRA COMUM PARA FUNDAÇÕES - REAPROVEITAMENTO 5X.</v>
      </c>
      <c r="E604" s="49" t="str">
        <f>'[3]Plan Tron'!E20</f>
        <v>M²</v>
      </c>
      <c r="F604" s="21">
        <v>296.87</v>
      </c>
      <c r="G604" s="9">
        <v>22.96</v>
      </c>
      <c r="H604" s="9">
        <f>'[3]Plan Tron'!F20</f>
        <v>29.01</v>
      </c>
      <c r="I604" s="9">
        <v>26.44</v>
      </c>
      <c r="J604" s="9">
        <f>ROUND(H604*(I604/100+1),2)</f>
        <v>36.68</v>
      </c>
      <c r="K604" s="383">
        <v>296.86599999999999</v>
      </c>
      <c r="L604" s="474">
        <f>F604-K604</f>
        <v>4.0000000000190994E-3</v>
      </c>
      <c r="M604" s="471">
        <f t="shared" si="61"/>
        <v>0.15</v>
      </c>
      <c r="N604" s="405"/>
      <c r="O604" s="541"/>
      <c r="P604" s="405"/>
      <c r="Q604" s="405"/>
      <c r="S604" s="344" t="str">
        <f t="shared" si="62"/>
        <v>FORMA DE MADEIRA COMUM PARA FUNDAÇÕES - REAPROVEITAMENTO 5X.</v>
      </c>
    </row>
    <row r="605" spans="1:19" s="344" customFormat="1" ht="25.5">
      <c r="A605" s="49" t="s">
        <v>347</v>
      </c>
      <c r="B605" s="49" t="str">
        <f>'[3]Plan Tron'!B74</f>
        <v xml:space="preserve">92264 </v>
      </c>
      <c r="C605" s="49" t="str">
        <f>'[3]Plan Tron'!C74</f>
        <v>SINAPI</v>
      </c>
      <c r="D605" s="614" t="str">
        <f>'[3]Plan Tron'!D74</f>
        <v>FABRICAÇÃO DE FÔRMA PARA PILARES E ESTRUTURAS SIMILARES, EM CHAPA DE MADEIRA COMPENSADA PLASTIFICADA, E = 18 MM. AF_12/2015</v>
      </c>
      <c r="E605" s="49" t="str">
        <f>'[3]Plan Tron'!E74</f>
        <v>M²</v>
      </c>
      <c r="F605" s="21">
        <v>761.75</v>
      </c>
      <c r="G605" s="9">
        <v>32.619999999999997</v>
      </c>
      <c r="H605" s="9">
        <f>'[3]Plan Tron'!F74</f>
        <v>99.07</v>
      </c>
      <c r="I605" s="9">
        <v>26.44</v>
      </c>
      <c r="J605" s="9">
        <f>ROUND(H605*(I605/100+1),2)</f>
        <v>125.26</v>
      </c>
      <c r="K605" s="383">
        <v>36.96</v>
      </c>
      <c r="L605" s="474">
        <f>F605-K605</f>
        <v>724.79</v>
      </c>
      <c r="M605" s="471">
        <f t="shared" si="61"/>
        <v>90787.199999999997</v>
      </c>
      <c r="N605" s="405"/>
      <c r="O605" s="541"/>
      <c r="P605" s="405"/>
      <c r="Q605" s="405"/>
      <c r="S605" s="344" t="str">
        <f t="shared" si="62"/>
        <v>FABRICAÇÃO DE FÔRMA PARA PILARES E ESTRUTURAS SIMILARES, EM CHAPA DE MADEIRA COMPENSADA PLASTIFICADA, E = 18 MM. AF_12/2015</v>
      </c>
    </row>
    <row r="606" spans="1:19" s="344" customFormat="1">
      <c r="A606" s="49" t="s">
        <v>945</v>
      </c>
      <c r="B606" s="49" t="str">
        <f>'[3]Plan Tron'!B66</f>
        <v xml:space="preserve">080202 </v>
      </c>
      <c r="C606" s="49" t="str">
        <f>'[3]Plan Tron'!C66</f>
        <v>CPOS</v>
      </c>
      <c r="D606" s="137" t="str">
        <f>'[3]Plan Tron'!D66</f>
        <v>CIMBRAMENTO EM MADEIRA COM ESTRONCAS DE EUCALIPTO</v>
      </c>
      <c r="E606" s="137" t="str">
        <f>'[3]Plan Tron'!E66</f>
        <v>M³</v>
      </c>
      <c r="F606" s="21">
        <v>444.67</v>
      </c>
      <c r="G606" s="9">
        <v>25.02</v>
      </c>
      <c r="H606" s="9">
        <f>'[3]Plan Tron'!F66</f>
        <v>27.46</v>
      </c>
      <c r="I606" s="9">
        <v>26.44</v>
      </c>
      <c r="J606" s="9">
        <f>ROUND(H606*(I606/100+1),2)</f>
        <v>34.72</v>
      </c>
      <c r="K606" s="383">
        <v>0</v>
      </c>
      <c r="L606" s="474">
        <f>F606-K606</f>
        <v>444.67</v>
      </c>
      <c r="M606" s="471">
        <f t="shared" si="61"/>
        <v>15438.94</v>
      </c>
      <c r="N606" s="405"/>
      <c r="O606" s="541"/>
      <c r="P606" s="405"/>
      <c r="Q606" s="405"/>
      <c r="S606" s="344" t="str">
        <f t="shared" si="62"/>
        <v>CIMBRAMENTO EM MADEIRA COM ESTRONCAS DE EUCALIPTO</v>
      </c>
    </row>
    <row r="607" spans="1:19" s="414" customFormat="1">
      <c r="A607" s="410" t="s">
        <v>6</v>
      </c>
      <c r="B607" s="425"/>
      <c r="C607" s="410"/>
      <c r="D607" s="426" t="s">
        <v>2059</v>
      </c>
      <c r="E607" s="421"/>
      <c r="F607" s="423"/>
      <c r="G607" s="412"/>
      <c r="H607" s="412"/>
      <c r="I607" s="412"/>
      <c r="J607" s="412"/>
      <c r="K607" s="498"/>
      <c r="L607" s="474"/>
      <c r="M607" s="471"/>
      <c r="N607" s="419"/>
      <c r="O607" s="541"/>
      <c r="P607" s="419"/>
      <c r="Q607" s="419"/>
      <c r="S607" s="414" t="str">
        <f t="shared" si="62"/>
        <v>ARMADURAS</v>
      </c>
    </row>
    <row r="608" spans="1:19" s="414" customFormat="1">
      <c r="A608" s="410" t="s">
        <v>311</v>
      </c>
      <c r="B608" s="425"/>
      <c r="C608" s="410"/>
      <c r="D608" s="426" t="s">
        <v>2060</v>
      </c>
      <c r="E608" s="421"/>
      <c r="F608" s="623"/>
      <c r="G608" s="412"/>
      <c r="H608" s="412"/>
      <c r="I608" s="412"/>
      <c r="J608" s="412"/>
      <c r="K608" s="498"/>
      <c r="L608" s="474"/>
      <c r="M608" s="471"/>
      <c r="N608" s="419"/>
      <c r="O608" s="541"/>
      <c r="P608" s="419"/>
      <c r="Q608" s="419"/>
      <c r="S608" s="414" t="str">
        <f t="shared" si="62"/>
        <v>ARMAÇÃO EM AÇO CA-50 PARA ESTRUTURAS DE CONCRETO.</v>
      </c>
    </row>
    <row r="609" spans="1:19" s="344" customFormat="1" ht="25.5">
      <c r="A609" s="49" t="s">
        <v>310</v>
      </c>
      <c r="B609" s="49">
        <f>'[3]Plan Tron'!B90</f>
        <v>92763</v>
      </c>
      <c r="C609" s="49" t="str">
        <f>'[3]Plan Tron'!C90</f>
        <v>SINAPI</v>
      </c>
      <c r="D609" s="614" t="str">
        <f>'[3]Plan Tron'!D90</f>
        <v>ARMAÇÃO DE PILAR OU VIGA DE UMA ESTRUTURA CONVENCIONAL DE CONCRETO ARMADO EM UM EDIFÍCIO DE MÚLTIPLOS PAVIMENTOS UTILIZANDO AÇO CA-50 DE 12.5 MM - MONTAGEM. AF_12/2015</v>
      </c>
      <c r="E609" s="49" t="str">
        <f>'[3]Plan Tron'!E90</f>
        <v>KG</v>
      </c>
      <c r="F609" s="21">
        <v>4237.92</v>
      </c>
      <c r="G609" s="9">
        <f>G85</f>
        <v>5.9</v>
      </c>
      <c r="H609" s="9">
        <f>'[3]Plan Tron'!F90</f>
        <v>6.29</v>
      </c>
      <c r="I609" s="9">
        <v>26.44</v>
      </c>
      <c r="J609" s="9">
        <f>ROUND(H609*(I609/100+1),2)</f>
        <v>7.95</v>
      </c>
      <c r="K609" s="474">
        <v>3829.232</v>
      </c>
      <c r="L609" s="474">
        <f>F609-K609</f>
        <v>408.6880000000001</v>
      </c>
      <c r="M609" s="471">
        <f t="shared" si="61"/>
        <v>3249.07</v>
      </c>
      <c r="N609" s="405"/>
      <c r="O609" s="541"/>
      <c r="P609" s="405"/>
      <c r="Q609" s="405"/>
      <c r="S609" s="344" t="str">
        <f t="shared" si="62"/>
        <v>ARMAÇÃO DE PILAR OU VIGA DE UMA ESTRUTURA CONVENCIONAL DE CONCRETO ARMADO EM UM EDIFÍCIO DE MÚLTIPLOS PAVIMENTOS UTILIZANDO AÇO CA-50 DE 12.5 MM - MONTAGEM. AF_12/2015</v>
      </c>
    </row>
    <row r="610" spans="1:19" s="344" customFormat="1" ht="25.5">
      <c r="A610" s="49" t="s">
        <v>309</v>
      </c>
      <c r="B610" s="49">
        <f>'[3]Plan Tron'!B91</f>
        <v>92765</v>
      </c>
      <c r="C610" s="49" t="str">
        <f>'[3]Plan Tron'!C91</f>
        <v>SINAPI</v>
      </c>
      <c r="D610" s="63" t="str">
        <f>'[3]Plan Tron'!D91</f>
        <v>ARMAÇÃO DE PILAR OU VIGA DE UMA ESTRUTURA CONVENCIONAL DE CONCRETO ARMADO EM UM EDIFÍCIO DE MÚLTIPLOS PAVIMENTOS UTILIZANDO AÇO CA-50 DE 20.0 MM - MONTAGEM. AF_12/2015</v>
      </c>
      <c r="E610" s="672" t="str">
        <f>'[3]Plan Tron'!E91</f>
        <v>KG</v>
      </c>
      <c r="F610" s="21">
        <v>3892.57</v>
      </c>
      <c r="G610" s="9">
        <v>6.66</v>
      </c>
      <c r="H610" s="9">
        <f>'[3]Plan Tron'!F91</f>
        <v>4.32</v>
      </c>
      <c r="I610" s="9">
        <v>26.44</v>
      </c>
      <c r="J610" s="9">
        <f>ROUND(H610*(I610/100+1),2)</f>
        <v>5.46</v>
      </c>
      <c r="K610" s="383">
        <v>2823.68</v>
      </c>
      <c r="L610" s="474">
        <f>F610-K610</f>
        <v>1068.8900000000003</v>
      </c>
      <c r="M610" s="471">
        <f t="shared" si="61"/>
        <v>5836.14</v>
      </c>
      <c r="N610" s="405"/>
      <c r="O610" s="541"/>
      <c r="P610" s="405"/>
      <c r="Q610" s="405"/>
      <c r="S610" s="344" t="str">
        <f t="shared" si="62"/>
        <v>ARMAÇÃO DE PILAR OU VIGA DE UMA ESTRUTURA CONVENCIONAL DE CONCRETO ARMADO EM UM EDIFÍCIO DE MÚLTIPLOS PAVIMENTOS UTILIZANDO AÇO CA-50 DE 20.0 MM - MONTAGEM. AF_12/2015</v>
      </c>
    </row>
    <row r="611" spans="1:19" s="414" customFormat="1">
      <c r="A611" s="410" t="s">
        <v>710</v>
      </c>
      <c r="B611" s="425"/>
      <c r="C611" s="410"/>
      <c r="D611" s="426" t="s">
        <v>2171</v>
      </c>
      <c r="E611" s="421"/>
      <c r="F611" s="422"/>
      <c r="G611" s="412"/>
      <c r="H611" s="412"/>
      <c r="I611" s="412"/>
      <c r="J611" s="412"/>
      <c r="K611" s="498"/>
      <c r="L611" s="474"/>
      <c r="M611" s="471"/>
      <c r="N611" s="419"/>
      <c r="O611" s="541"/>
      <c r="P611" s="419"/>
      <c r="Q611" s="419"/>
      <c r="S611" s="414" t="str">
        <f t="shared" si="62"/>
        <v>ARMAÇÃO EM TELA SOLDADA</v>
      </c>
    </row>
    <row r="612" spans="1:19" s="344" customFormat="1">
      <c r="A612" s="49" t="s">
        <v>944</v>
      </c>
      <c r="B612" s="49" t="str">
        <f>'[3]Plan Tron'!B106</f>
        <v xml:space="preserve">73994/001 </v>
      </c>
      <c r="C612" s="49" t="str">
        <f>'[3]Plan Tron'!C106</f>
        <v>SINAPI</v>
      </c>
      <c r="D612" s="137" t="str">
        <f>'[3]Plan Tron'!D106</f>
        <v>ARMACAO EM TELA DE ACO SOLDADA NERVURADA Q-138, ACO CA-60, 4,2MM, MALHA 10X10CM</v>
      </c>
      <c r="E612" s="137" t="str">
        <f>'[3]Plan Tron'!E106</f>
        <v>KG</v>
      </c>
      <c r="F612" s="21">
        <v>3.38</v>
      </c>
      <c r="G612" s="9">
        <v>6.1</v>
      </c>
      <c r="H612" s="9">
        <f>'[3]Plan Tron'!F106</f>
        <v>5.97</v>
      </c>
      <c r="I612" s="9">
        <v>26.44</v>
      </c>
      <c r="J612" s="9">
        <f>ROUND(H612*(I612/100+1),2)</f>
        <v>7.55</v>
      </c>
      <c r="K612" s="383">
        <v>0</v>
      </c>
      <c r="L612" s="474">
        <f>F612-K612</f>
        <v>3.38</v>
      </c>
      <c r="M612" s="471">
        <f t="shared" si="61"/>
        <v>25.52</v>
      </c>
      <c r="N612" s="405"/>
      <c r="O612" s="541"/>
      <c r="P612" s="405"/>
      <c r="Q612" s="405"/>
      <c r="S612" s="344" t="str">
        <f t="shared" si="62"/>
        <v>ARMACAO EM TELA DE ACO SOLDADA NERVURADA Q-138, ACO CA-60, 4,2MM, MALHA 10X10CM</v>
      </c>
    </row>
    <row r="613" spans="1:19" s="414" customFormat="1">
      <c r="A613" s="410" t="s">
        <v>5</v>
      </c>
      <c r="B613" s="646"/>
      <c r="C613" s="410"/>
      <c r="D613" s="647" t="s">
        <v>2061</v>
      </c>
      <c r="E613" s="648"/>
      <c r="F613" s="649"/>
      <c r="G613" s="412"/>
      <c r="H613" s="412"/>
      <c r="I613" s="412"/>
      <c r="J613" s="412"/>
      <c r="K613" s="498"/>
      <c r="L613" s="474"/>
      <c r="M613" s="471"/>
      <c r="N613" s="419"/>
      <c r="O613" s="541"/>
      <c r="P613" s="419"/>
      <c r="Q613" s="419"/>
      <c r="S613" s="414" t="str">
        <f t="shared" si="62"/>
        <v>CONCRETOS</v>
      </c>
    </row>
    <row r="614" spans="1:19" s="390" customFormat="1" hidden="1">
      <c r="A614" s="49" t="s">
        <v>346</v>
      </c>
      <c r="B614" s="49">
        <f>'[3]Plan Tron'!B22</f>
        <v>110402</v>
      </c>
      <c r="C614" s="49" t="str">
        <f>'[3]Plan Tron'!C22</f>
        <v>CPOS</v>
      </c>
      <c r="D614" s="63" t="str">
        <f>UPPER('[3]Plan Tron'!D22)</f>
        <v>CONCRETO NÃO ESTRUTURAL EXECUTADO NO LOCAL, MÍNIMO 150 KG CIMENTO / M³</v>
      </c>
      <c r="E614" s="32" t="s">
        <v>2335</v>
      </c>
      <c r="F614" s="21">
        <v>1.86</v>
      </c>
      <c r="G614" s="9">
        <v>208.25</v>
      </c>
      <c r="H614" s="9">
        <f>'[3]Plan Tron'!F22</f>
        <v>208.91</v>
      </c>
      <c r="I614" s="9">
        <v>26.44</v>
      </c>
      <c r="J614" s="9">
        <f>ROUND(H614*(I614/100+1),2)</f>
        <v>264.14999999999998</v>
      </c>
      <c r="K614" s="631">
        <v>2.25</v>
      </c>
      <c r="L614" s="632">
        <f>F614-K614</f>
        <v>-0.3899999999999999</v>
      </c>
      <c r="M614" s="471"/>
      <c r="N614" s="633"/>
      <c r="O614" s="634"/>
      <c r="P614" s="633"/>
      <c r="Q614" s="633"/>
      <c r="S614" s="390" t="str">
        <f t="shared" si="62"/>
        <v>CONCRETO NÃO ESTRUTURAL EXECUTADO NO LOCAL, MÍNIMO 150 KG CIMENTO / M³</v>
      </c>
    </row>
    <row r="615" spans="1:19" s="344" customFormat="1">
      <c r="A615" s="49" t="s">
        <v>706</v>
      </c>
      <c r="B615" s="49">
        <f>'[3]Plan Tron'!B24</f>
        <v>110406</v>
      </c>
      <c r="C615" s="49" t="str">
        <f>'[3]Plan Tron'!C24</f>
        <v>CPOS</v>
      </c>
      <c r="D615" s="137" t="str">
        <f>'[3]Plan Tron'!D24</f>
        <v xml:space="preserve">CONCRETO NÃO ESTRUTURAL EXECUTADO NO LOCAL, MINIMO 300KG CIMENTO/M³ </v>
      </c>
      <c r="E615" s="18" t="str">
        <f>'[3]Plan Tron'!E24</f>
        <v>M³</v>
      </c>
      <c r="F615" s="21">
        <v>73.95</v>
      </c>
      <c r="G615" s="9">
        <v>238.25</v>
      </c>
      <c r="H615" s="9">
        <f>'[3]Plan Tron'!F24</f>
        <v>279.64</v>
      </c>
      <c r="I615" s="9">
        <v>26.44</v>
      </c>
      <c r="J615" s="9">
        <f>ROUND(H615*(I615/100+1),2)</f>
        <v>353.58</v>
      </c>
      <c r="K615" s="383">
        <v>14.79</v>
      </c>
      <c r="L615" s="474">
        <f>F615-K615</f>
        <v>59.160000000000004</v>
      </c>
      <c r="M615" s="471">
        <f t="shared" si="61"/>
        <v>20917.79</v>
      </c>
      <c r="N615" s="405"/>
      <c r="O615" s="541"/>
      <c r="P615" s="405"/>
      <c r="Q615" s="405"/>
      <c r="S615" s="344" t="str">
        <f t="shared" si="62"/>
        <v xml:space="preserve">CONCRETO NÃO ESTRUTURAL EXECUTADO NO LOCAL, MINIMO 300KG CIMENTO/M³ </v>
      </c>
    </row>
    <row r="616" spans="1:19" s="414" customFormat="1">
      <c r="A616" s="410" t="s">
        <v>943</v>
      </c>
      <c r="B616" s="425"/>
      <c r="C616" s="410"/>
      <c r="D616" s="426" t="s">
        <v>2062</v>
      </c>
      <c r="E616" s="421"/>
      <c r="F616" s="623"/>
      <c r="G616" s="412"/>
      <c r="H616" s="412"/>
      <c r="I616" s="412"/>
      <c r="J616" s="412"/>
      <c r="K616" s="498"/>
      <c r="L616" s="474"/>
      <c r="M616" s="471"/>
      <c r="N616" s="419"/>
      <c r="O616" s="541"/>
      <c r="P616" s="419"/>
      <c r="Q616" s="419"/>
      <c r="S616" s="414" t="str">
        <f t="shared" si="62"/>
        <v>CONCRETO BOMBEADO</v>
      </c>
    </row>
    <row r="617" spans="1:19" s="344" customFormat="1">
      <c r="A617" s="49" t="s">
        <v>942</v>
      </c>
      <c r="B617" s="49">
        <f>'[3]Plan Tron'!B25</f>
        <v>110126</v>
      </c>
      <c r="C617" s="49" t="str">
        <f>'[3]Plan Tron'!C25</f>
        <v>CPOS</v>
      </c>
      <c r="D617" s="63" t="str">
        <f>UPPER('[3]Plan Tron'!D25)</f>
        <v xml:space="preserve">CONCRETO USINADO, FCK = 20,0 MPA - PARA BOMBEAMENTO </v>
      </c>
      <c r="E617" s="672" t="str">
        <f>'[3]Plan Tron'!E25</f>
        <v>M³</v>
      </c>
      <c r="F617" s="36">
        <v>0.08</v>
      </c>
      <c r="G617" s="9">
        <v>278</v>
      </c>
      <c r="H617" s="9">
        <f>'[3]Plan Tron'!F25</f>
        <v>299.37</v>
      </c>
      <c r="I617" s="9">
        <v>26.44</v>
      </c>
      <c r="J617" s="9">
        <f>ROUND(H617*(I617/100+1),2)</f>
        <v>378.52</v>
      </c>
      <c r="K617" s="383">
        <v>0</v>
      </c>
      <c r="L617" s="474">
        <f>F617-K617</f>
        <v>0.08</v>
      </c>
      <c r="M617" s="471">
        <f t="shared" si="61"/>
        <v>30.28</v>
      </c>
      <c r="N617" s="405"/>
      <c r="O617" s="541"/>
      <c r="P617" s="405"/>
      <c r="Q617" s="405"/>
      <c r="S617" s="344" t="str">
        <f t="shared" si="62"/>
        <v xml:space="preserve">CONCRETO USINADO, FCK = 20,0 MPA - PARA BOMBEAMENTO </v>
      </c>
    </row>
    <row r="618" spans="1:19" s="390" customFormat="1" hidden="1">
      <c r="A618" s="49" t="s">
        <v>941</v>
      </c>
      <c r="B618" s="49">
        <f>'[3]Plan Tron'!B27</f>
        <v>110132</v>
      </c>
      <c r="C618" s="49" t="str">
        <f>'[3]Plan Tron'!C27</f>
        <v>CPOS</v>
      </c>
      <c r="D618" s="612" t="str">
        <f>'[3]Plan Tron'!D27</f>
        <v xml:space="preserve">CONCRETO USINADO, FCK=30MPa - PARA BOMBEAMENTO </v>
      </c>
      <c r="E618" s="49" t="str">
        <f>'[3]Plan Tron'!E27</f>
        <v>M³</v>
      </c>
      <c r="F618" s="21">
        <v>16.86</v>
      </c>
      <c r="G618" s="9">
        <v>336.65</v>
      </c>
      <c r="H618" s="9">
        <f>'[3]Plan Tron'!F27</f>
        <v>311.94</v>
      </c>
      <c r="I618" s="9">
        <v>26.44</v>
      </c>
      <c r="J618" s="9">
        <f>ROUND(H618*(I618/100+1),2)</f>
        <v>394.42</v>
      </c>
      <c r="K618" s="631">
        <v>24.721</v>
      </c>
      <c r="L618" s="632">
        <f>F618-K618</f>
        <v>-7.8610000000000007</v>
      </c>
      <c r="M618" s="471"/>
      <c r="N618" s="633"/>
      <c r="O618" s="634"/>
      <c r="P618" s="633"/>
      <c r="Q618" s="633"/>
      <c r="S618" s="390" t="str">
        <f t="shared" si="62"/>
        <v xml:space="preserve">CONCRETO USINADO, FCK=30MPA - PARA BOMBEAMENTO </v>
      </c>
    </row>
    <row r="619" spans="1:19" s="344" customFormat="1">
      <c r="A619" s="49" t="s">
        <v>940</v>
      </c>
      <c r="B619" s="49">
        <f>'[3]Plan Tron'!B26</f>
        <v>110135</v>
      </c>
      <c r="C619" s="49" t="str">
        <f>'[3]Plan Tron'!C26</f>
        <v>CPOS</v>
      </c>
      <c r="D619" s="63" t="str">
        <f>UPPER('[3]Plan Tron'!D26)</f>
        <v xml:space="preserve">CONCRETO USINADO, FCK = 40,0 MPA - PARA BOMBEAMENTO </v>
      </c>
      <c r="E619" s="672" t="str">
        <f>'[3]Plan Tron'!E26</f>
        <v>M³</v>
      </c>
      <c r="F619" s="21">
        <v>91.5</v>
      </c>
      <c r="G619" s="9">
        <v>357.28</v>
      </c>
      <c r="H619" s="9">
        <f>'[3]Plan Tron'!F26</f>
        <v>351.18</v>
      </c>
      <c r="I619" s="9">
        <v>26.44</v>
      </c>
      <c r="J619" s="9">
        <f>ROUND(H619*(I619/100+1),2)</f>
        <v>444.03</v>
      </c>
      <c r="K619" s="383">
        <v>62.02</v>
      </c>
      <c r="L619" s="474">
        <f>F619-K619</f>
        <v>29.479999999999997</v>
      </c>
      <c r="M619" s="471">
        <f t="shared" si="61"/>
        <v>13090</v>
      </c>
      <c r="N619" s="405"/>
      <c r="O619" s="541"/>
      <c r="P619" s="405"/>
      <c r="Q619" s="405"/>
      <c r="S619" s="344" t="str">
        <f t="shared" si="62"/>
        <v xml:space="preserve">CONCRETO USINADO, FCK = 40,0 MPA - PARA BOMBEAMENTO </v>
      </c>
    </row>
    <row r="620" spans="1:19" s="414" customFormat="1" ht="25.5">
      <c r="A620" s="410" t="s">
        <v>939</v>
      </c>
      <c r="B620" s="425"/>
      <c r="C620" s="410"/>
      <c r="D620" s="426" t="s">
        <v>2172</v>
      </c>
      <c r="E620" s="421"/>
      <c r="F620" s="623"/>
      <c r="G620" s="412"/>
      <c r="H620" s="412"/>
      <c r="I620" s="412"/>
      <c r="J620" s="412"/>
      <c r="K620" s="498"/>
      <c r="L620" s="474"/>
      <c r="M620" s="471"/>
      <c r="N620" s="419"/>
      <c r="O620" s="541"/>
      <c r="P620" s="419"/>
      <c r="Q620" s="419"/>
      <c r="S620" s="414" t="str">
        <f t="shared" si="62"/>
        <v>CONCRETOS - INCLUI FORNECIMENTO, LANÇAMENTO NAS FORMAS, ADENSAMENTO, DESEMPENO E PREPARO DAS JUNTAS DE CONCRETAGEM</v>
      </c>
    </row>
    <row r="621" spans="1:19" s="344" customFormat="1">
      <c r="A621" s="49" t="s">
        <v>938</v>
      </c>
      <c r="B621" s="49">
        <f>'[3]Plan Tron'!B28</f>
        <v>89995</v>
      </c>
      <c r="C621" s="49" t="str">
        <f>'[3]Plan Tron'!C28</f>
        <v>SINAPI</v>
      </c>
      <c r="D621" s="63" t="str">
        <f>'[3]Plan Tron'!D28</f>
        <v>GRAUTEAMENTO DE CINTA SUPERIOR OU DE VERGA EM ALVENARIA ESTRUTURAL. AF_01/2015</v>
      </c>
      <c r="E621" s="672" t="str">
        <f>'[3]Plan Tron'!E28</f>
        <v>M³</v>
      </c>
      <c r="F621" s="21">
        <v>4.8099999999999996</v>
      </c>
      <c r="G621" s="9">
        <v>371.86</v>
      </c>
      <c r="H621" s="9">
        <f>'[3]Plan Tron'!F28</f>
        <v>553.45000000000005</v>
      </c>
      <c r="I621" s="9">
        <v>26.44</v>
      </c>
      <c r="J621" s="9">
        <f>ROUND(H621*(I621/100+1),2)</f>
        <v>699.78</v>
      </c>
      <c r="K621" s="383">
        <v>2</v>
      </c>
      <c r="L621" s="474">
        <f>F621-K621</f>
        <v>2.8099999999999996</v>
      </c>
      <c r="M621" s="471">
        <f t="shared" si="61"/>
        <v>1966.38</v>
      </c>
      <c r="N621" s="405"/>
      <c r="O621" s="541"/>
      <c r="P621" s="405"/>
      <c r="Q621" s="405"/>
      <c r="S621" s="344" t="str">
        <f t="shared" si="62"/>
        <v>GRAUTEAMENTO DE CINTA SUPERIOR OU DE VERGA EM ALVENARIA ESTRUTURAL. AF_01/2015</v>
      </c>
    </row>
    <row r="622" spans="1:19" s="414" customFormat="1">
      <c r="A622" s="410" t="s">
        <v>4</v>
      </c>
      <c r="B622" s="425"/>
      <c r="C622" s="410"/>
      <c r="D622" s="426" t="s">
        <v>2173</v>
      </c>
      <c r="E622" s="640"/>
      <c r="F622" s="422"/>
      <c r="G622" s="412"/>
      <c r="H622" s="412"/>
      <c r="I622" s="412"/>
      <c r="J622" s="412"/>
      <c r="K622" s="498"/>
      <c r="L622" s="474"/>
      <c r="M622" s="471"/>
      <c r="N622" s="419"/>
      <c r="O622" s="541"/>
      <c r="P622" s="419"/>
      <c r="Q622" s="419"/>
      <c r="S622" s="414" t="str">
        <f t="shared" si="62"/>
        <v>LAJE PRÉ-FABRICADA</v>
      </c>
    </row>
    <row r="623" spans="1:19" s="414" customFormat="1">
      <c r="A623" s="410" t="s">
        <v>702</v>
      </c>
      <c r="B623" s="425"/>
      <c r="C623" s="410"/>
      <c r="D623" s="426" t="s">
        <v>2174</v>
      </c>
      <c r="E623" s="640"/>
      <c r="F623" s="422"/>
      <c r="G623" s="412"/>
      <c r="H623" s="412"/>
      <c r="I623" s="412"/>
      <c r="J623" s="412"/>
      <c r="K623" s="498"/>
      <c r="L623" s="474"/>
      <c r="M623" s="471"/>
      <c r="N623" s="419"/>
      <c r="O623" s="541"/>
      <c r="P623" s="419"/>
      <c r="Q623" s="419"/>
      <c r="S623" s="414" t="str">
        <f t="shared" si="62"/>
        <v>LAJE PRÉ-MOLDADA</v>
      </c>
    </row>
    <row r="624" spans="1:19" s="344" customFormat="1" ht="25.5">
      <c r="A624" s="49" t="s">
        <v>937</v>
      </c>
      <c r="B624" s="49" t="str">
        <f>'[3]Plan Tron'!B107</f>
        <v xml:space="preserve">74202/002 </v>
      </c>
      <c r="C624" s="49" t="str">
        <f>'[3]Plan Tron'!C107</f>
        <v>SINAPI</v>
      </c>
      <c r="D624" s="63" t="str">
        <f>'[3]Plan Tron'!D107</f>
        <v>LAJE PRE-MOLDADA P/PISO, SOBRECARGA 200KG/M2, VAOS ATE 3,50M/E=8CM, C/ LAJOTAS E CAP.C/CONC FCK=20MPA, 4CM, INTER-EIXO 38CM, C/ESCORAMENTO (REAPR.3X) E FERRAGEM NEGATIVA</v>
      </c>
      <c r="E624" s="672" t="str">
        <f>'[3]Plan Tron'!E107</f>
        <v>M²</v>
      </c>
      <c r="F624" s="21">
        <v>160.38</v>
      </c>
      <c r="G624" s="9">
        <v>60.36</v>
      </c>
      <c r="H624" s="9">
        <f>'[3]Plan Tron'!F107</f>
        <v>66.27</v>
      </c>
      <c r="I624" s="9">
        <v>26.44</v>
      </c>
      <c r="J624" s="9">
        <f>ROUND(H624*(I624/100+1),2)</f>
        <v>83.79</v>
      </c>
      <c r="K624" s="383">
        <v>0</v>
      </c>
      <c r="L624" s="474">
        <f>F624-K624</f>
        <v>160.38</v>
      </c>
      <c r="M624" s="471">
        <f t="shared" si="61"/>
        <v>13438.24</v>
      </c>
      <c r="N624" s="405"/>
      <c r="O624" s="541"/>
      <c r="P624" s="405"/>
      <c r="Q624" s="405"/>
      <c r="S624" s="344" t="str">
        <f t="shared" si="62"/>
        <v>LAJE PRE-MOLDADA P/PISO, SOBRECARGA 200KG/M2, VAOS ATE 3,50M/E=8CM, C/ LAJOTAS E CAP.C/CONC FCK=20MPA, 4CM, INTER-EIXO 38CM, C/ESCORAMENTO (REAPR.3X) E FERRAGEM NEGATIVA</v>
      </c>
    </row>
    <row r="625" spans="1:19" s="344" customFormat="1" ht="25.5">
      <c r="A625" s="49" t="s">
        <v>936</v>
      </c>
      <c r="B625" s="29" t="s">
        <v>935</v>
      </c>
      <c r="C625" s="49"/>
      <c r="D625" s="63" t="s">
        <v>2175</v>
      </c>
      <c r="E625" s="28" t="s">
        <v>2332</v>
      </c>
      <c r="F625" s="21">
        <v>145.80000000000001</v>
      </c>
      <c r="G625" s="9">
        <v>66.14</v>
      </c>
      <c r="H625" s="9">
        <f t="shared" ref="H625" si="63">G625*$P$7</f>
        <v>76.411541999999997</v>
      </c>
      <c r="I625" s="9">
        <v>26.44</v>
      </c>
      <c r="J625" s="9">
        <f>ROUND(H625*(I625/100+1),2)</f>
        <v>96.61</v>
      </c>
      <c r="K625" s="383">
        <v>0</v>
      </c>
      <c r="L625" s="474">
        <f>F625-K625</f>
        <v>145.80000000000001</v>
      </c>
      <c r="M625" s="471">
        <f t="shared" si="61"/>
        <v>14085.74</v>
      </c>
      <c r="N625" s="405"/>
      <c r="O625" s="541"/>
      <c r="P625" s="405"/>
      <c r="Q625" s="405"/>
      <c r="S625" s="344" t="str">
        <f t="shared" si="62"/>
        <v>LAJE PRÉ-MOLDADA P/ PISO, SOBRECARGA 350 KG/M², VÃOS ATÉ 3,50M / E = 8CM, C/ LAJOTAS E CAP. C/ CONC FCK = 20MPA, 4 CM, INTER-EIXO 38CM, C/ ESCORAMENTO (REAPR. 3X) E FERRAGEM NEGATIVA.</v>
      </c>
    </row>
    <row r="626" spans="1:19">
      <c r="A626" s="49"/>
      <c r="B626" s="17"/>
      <c r="C626" s="49"/>
      <c r="D626" s="17"/>
      <c r="E626" s="7"/>
      <c r="F626" s="10"/>
      <c r="G626" s="27"/>
      <c r="H626" s="27"/>
      <c r="I626" s="9"/>
      <c r="J626" s="9"/>
      <c r="K626" s="17"/>
      <c r="L626" s="474"/>
      <c r="M626" s="471"/>
      <c r="N626" s="405"/>
      <c r="O626" s="541"/>
      <c r="P626" s="405"/>
      <c r="Q626" s="405"/>
    </row>
    <row r="627" spans="1:19" s="344" customFormat="1">
      <c r="A627" s="49"/>
      <c r="B627" s="17"/>
      <c r="C627" s="49"/>
      <c r="D627" s="53" t="s">
        <v>76</v>
      </c>
      <c r="E627" s="7"/>
      <c r="F627" s="10"/>
      <c r="G627" s="27"/>
      <c r="H627" s="27"/>
      <c r="I627" s="9"/>
      <c r="J627" s="9"/>
      <c r="K627" s="383"/>
      <c r="L627" s="474"/>
      <c r="M627" s="471"/>
      <c r="N627" s="405"/>
      <c r="O627" s="541"/>
      <c r="P627" s="405"/>
      <c r="Q627" s="405"/>
      <c r="S627" s="344" t="str">
        <f t="shared" ref="S627:S639" si="64">UPPER(D627)</f>
        <v/>
      </c>
    </row>
    <row r="628" spans="1:19" s="344" customFormat="1">
      <c r="A628" s="45">
        <v>3</v>
      </c>
      <c r="B628" s="17"/>
      <c r="C628" s="45"/>
      <c r="D628" s="53" t="s">
        <v>2067</v>
      </c>
      <c r="E628" s="7"/>
      <c r="F628" s="10"/>
      <c r="G628" s="27"/>
      <c r="H628" s="27"/>
      <c r="I628" s="9"/>
      <c r="J628" s="9"/>
      <c r="K628" s="383"/>
      <c r="L628" s="474"/>
      <c r="M628" s="471"/>
      <c r="N628" s="405"/>
      <c r="O628" s="541"/>
      <c r="P628" s="405"/>
      <c r="Q628" s="405"/>
      <c r="S628" s="344" t="str">
        <f t="shared" si="64"/>
        <v>PAREDES / PAINÉIS</v>
      </c>
    </row>
    <row r="629" spans="1:19" s="414" customFormat="1">
      <c r="A629" s="410" t="s">
        <v>144</v>
      </c>
      <c r="B629" s="411"/>
      <c r="C629" s="410"/>
      <c r="D629" s="429" t="s">
        <v>2068</v>
      </c>
      <c r="E629" s="617"/>
      <c r="F629" s="413"/>
      <c r="G629" s="619"/>
      <c r="H629" s="619"/>
      <c r="I629" s="412"/>
      <c r="J629" s="412"/>
      <c r="K629" s="498"/>
      <c r="L629" s="474"/>
      <c r="M629" s="471"/>
      <c r="N629" s="419"/>
      <c r="O629" s="541"/>
      <c r="P629" s="419"/>
      <c r="Q629" s="419"/>
      <c r="S629" s="414" t="str">
        <f t="shared" si="64"/>
        <v>ALVENARIA DE BLOCOS DE CONCRETO</v>
      </c>
    </row>
    <row r="630" spans="1:19" s="414" customFormat="1">
      <c r="A630" s="410" t="s">
        <v>143</v>
      </c>
      <c r="B630" s="411"/>
      <c r="C630" s="410"/>
      <c r="D630" s="429" t="s">
        <v>2176</v>
      </c>
      <c r="E630" s="617"/>
      <c r="F630" s="413"/>
      <c r="G630" s="619"/>
      <c r="H630" s="619"/>
      <c r="I630" s="412"/>
      <c r="J630" s="412"/>
      <c r="K630" s="498"/>
      <c r="L630" s="474"/>
      <c r="M630" s="471"/>
      <c r="N630" s="419"/>
      <c r="O630" s="541"/>
      <c r="P630" s="419"/>
      <c r="Q630" s="419"/>
      <c r="S630" s="414" t="str">
        <f t="shared" si="64"/>
        <v>ALVENARIA DE BLOCO DE CONCRETO.</v>
      </c>
    </row>
    <row r="631" spans="1:19" s="344" customFormat="1" ht="25.5">
      <c r="A631" s="49" t="s">
        <v>343</v>
      </c>
      <c r="B631" s="49">
        <f>'[3]Plan Tron'!B108</f>
        <v>89455</v>
      </c>
      <c r="C631" s="49" t="str">
        <f>'[3]Plan Tron'!C108</f>
        <v>SINAPI</v>
      </c>
      <c r="D631" s="130" t="str">
        <f>'[3]Plan Tron'!D108</f>
        <v>ALVENARIA DE BLOCOS DE CONCRETO ESTRUTURAL 14X19X39 CM, (ESPESSURA 14CM) FBK = 14,0 MPA, PARA PAREDES COM ÁREA LÍQUIDA MENOR QUE 6M², SEM VÃOS, UTILIZANDO PALHETA. AF_12/2014</v>
      </c>
      <c r="E631" s="77" t="str">
        <f>'[3]Plan Tron'!E108</f>
        <v>M²</v>
      </c>
      <c r="F631" s="10">
        <v>16.36</v>
      </c>
      <c r="G631" s="9">
        <v>54.83</v>
      </c>
      <c r="H631" s="9">
        <f>'[3]Plan Tron'!F108</f>
        <v>63.41</v>
      </c>
      <c r="I631" s="9">
        <v>26.44</v>
      </c>
      <c r="J631" s="9">
        <f>ROUND(H631*(I631/100+1),2)</f>
        <v>80.180000000000007</v>
      </c>
      <c r="K631" s="474">
        <v>0</v>
      </c>
      <c r="L631" s="474">
        <f>F631-K631</f>
        <v>16.36</v>
      </c>
      <c r="M631" s="471">
        <f t="shared" si="61"/>
        <v>1311.74</v>
      </c>
      <c r="N631" s="405"/>
      <c r="O631" s="541"/>
      <c r="P631" s="405"/>
      <c r="Q631" s="405"/>
      <c r="S631" s="344" t="str">
        <f t="shared" si="64"/>
        <v>ALVENARIA DE BLOCOS DE CONCRETO ESTRUTURAL 14X19X39 CM, (ESPESSURA 14CM) FBK = 14,0 MPA, PARA PAREDES COM ÁREA LÍQUIDA MENOR QUE 6M², SEM VÃOS, UTILIZANDO PALHETA. AF_12/2014</v>
      </c>
    </row>
    <row r="632" spans="1:19" s="344" customFormat="1" ht="38.25">
      <c r="A632" s="49" t="s">
        <v>934</v>
      </c>
      <c r="B632" s="49">
        <f>'[3]Plan Tron'!B76</f>
        <v>87451</v>
      </c>
      <c r="C632" s="49" t="str">
        <f>'[3]Plan Tron'!C76</f>
        <v>SINAPI</v>
      </c>
      <c r="D632" s="130" t="str">
        <f>'[3]Plan Tron'!D76</f>
        <v>ALVENARIA DE VEDAÇÃO DE BLOCOS VAZADOS DE CONCRETO DE 19X19X39CM (ESPESSURA 19CM) DE PAREDES COM ÁREA LÍQUIDA MENOR QUE 6M² SEM VÃOS E ARGAMASSA DE ASSENTAMENTO COM PREPARO EM BETONEIRA. AF_06/2014</v>
      </c>
      <c r="E632" s="77" t="str">
        <f>'[3]Plan Tron'!E76</f>
        <v>M²</v>
      </c>
      <c r="F632" s="10">
        <v>701.24</v>
      </c>
      <c r="G632" s="9">
        <v>47.49</v>
      </c>
      <c r="H632" s="9">
        <f>'[3]Plan Tron'!F76</f>
        <v>70.959999999999994</v>
      </c>
      <c r="I632" s="9">
        <v>26.44</v>
      </c>
      <c r="J632" s="9">
        <f>ROUND(H631*(I632/100+1),2)</f>
        <v>80.180000000000007</v>
      </c>
      <c r="K632" s="474">
        <v>347.80999999999995</v>
      </c>
      <c r="L632" s="474">
        <f>F632-K632</f>
        <v>353.43000000000006</v>
      </c>
      <c r="M632" s="471">
        <f t="shared" si="61"/>
        <v>28338.02</v>
      </c>
      <c r="N632" s="405"/>
      <c r="O632" s="541"/>
      <c r="P632" s="405"/>
      <c r="Q632" s="405"/>
      <c r="S632" s="344" t="str">
        <f t="shared" si="64"/>
        <v>ALVENARIA DE VEDAÇÃO DE BLOCOS VAZADOS DE CONCRETO DE 19X19X39CM (ESPESSURA 19CM) DE PAREDES COM ÁREA LÍQUIDA MENOR QUE 6M² SEM VÃOS E ARGAMASSA DE ASSENTAMENTO COM PREPARO EM BETONEIRA. AF_06/2014</v>
      </c>
    </row>
    <row r="633" spans="1:19" s="344" customFormat="1">
      <c r="A633" s="49" t="s">
        <v>933</v>
      </c>
      <c r="B633" s="49">
        <f>'[3]Plan Tron'!B157</f>
        <v>141123</v>
      </c>
      <c r="C633" s="49" t="str">
        <f>'[3]Plan Tron'!C157</f>
        <v>CPOS</v>
      </c>
      <c r="D633" s="612" t="str">
        <f>UPPER('[3]Plan Tron'!D157)</f>
        <v>ALVENARIA DE BLOCO DE CONCRETO ESTRUTURAL, USO REVESTIDO, DE 19 CM</v>
      </c>
      <c r="E633" s="49" t="str">
        <f>'[3]Plan Tron'!E157</f>
        <v>M²</v>
      </c>
      <c r="F633" s="10">
        <v>48.32</v>
      </c>
      <c r="G633" s="9">
        <v>65</v>
      </c>
      <c r="H633" s="9">
        <f>'[3]Plan Tron'!F157</f>
        <v>63.81</v>
      </c>
      <c r="I633" s="9">
        <v>26.44</v>
      </c>
      <c r="J633" s="9">
        <f>ROUND(H633*(I633/100+1),2)</f>
        <v>80.680000000000007</v>
      </c>
      <c r="K633" s="474">
        <v>0</v>
      </c>
      <c r="L633" s="474">
        <f>F633-K633</f>
        <v>48.32</v>
      </c>
      <c r="M633" s="471">
        <f t="shared" si="61"/>
        <v>3898.46</v>
      </c>
      <c r="N633" s="405"/>
      <c r="O633" s="541"/>
      <c r="P633" s="405"/>
      <c r="Q633" s="405"/>
      <c r="S633" s="344" t="str">
        <f t="shared" si="64"/>
        <v>ALVENARIA DE BLOCO DE CONCRETO ESTRUTURAL, USO REVESTIDO, DE 19 CM</v>
      </c>
    </row>
    <row r="634" spans="1:19" s="414" customFormat="1">
      <c r="A634" s="410" t="s">
        <v>142</v>
      </c>
      <c r="B634" s="411"/>
      <c r="C634" s="410"/>
      <c r="D634" s="429" t="s">
        <v>2177</v>
      </c>
      <c r="E634" s="617"/>
      <c r="F634" s="422"/>
      <c r="G634" s="619"/>
      <c r="H634" s="619"/>
      <c r="I634" s="412"/>
      <c r="J634" s="412"/>
      <c r="K634" s="498"/>
      <c r="L634" s="474"/>
      <c r="M634" s="471"/>
      <c r="N634" s="419"/>
      <c r="O634" s="541"/>
      <c r="P634" s="419"/>
      <c r="Q634" s="419"/>
      <c r="S634" s="414" t="str">
        <f t="shared" si="64"/>
        <v>ALVENARIA DE ELEMENTOS VAZADOS DE CONCRETO</v>
      </c>
    </row>
    <row r="635" spans="1:19" s="414" customFormat="1">
      <c r="A635" s="410" t="s">
        <v>141</v>
      </c>
      <c r="B635" s="411"/>
      <c r="C635" s="410"/>
      <c r="D635" s="429" t="s">
        <v>2178</v>
      </c>
      <c r="E635" s="617"/>
      <c r="F635" s="422"/>
      <c r="G635" s="619"/>
      <c r="H635" s="619"/>
      <c r="I635" s="412"/>
      <c r="J635" s="412"/>
      <c r="K635" s="498"/>
      <c r="L635" s="474"/>
      <c r="M635" s="471"/>
      <c r="N635" s="419"/>
      <c r="O635" s="541"/>
      <c r="P635" s="419"/>
      <c r="Q635" s="419"/>
      <c r="S635" s="414" t="str">
        <f t="shared" si="64"/>
        <v>ALVENARIA DE ELEMENTO VAZADO DE CONRETO (COBOGÓ).</v>
      </c>
    </row>
    <row r="636" spans="1:19" s="344" customFormat="1" ht="25.5">
      <c r="A636" s="49" t="s">
        <v>932</v>
      </c>
      <c r="B636" s="49" t="str">
        <f>'[3]Plan Tron'!B109</f>
        <v xml:space="preserve">73937/001 </v>
      </c>
      <c r="C636" s="49" t="str">
        <f>'[3]Plan Tron'!C109</f>
        <v>SINAPI</v>
      </c>
      <c r="D636" s="130" t="str">
        <f>'[3]Plan Tron'!D109</f>
        <v>COBOGO DE CONCRETO (ELEMENTO VAZADO), 7X50X50CM, ASSENTADO COM ARGAMASSA TRACO 1:4 (CIMENTO E AREIA)</v>
      </c>
      <c r="E636" s="77" t="str">
        <f>'[3]Plan Tron'!E109</f>
        <v>M²</v>
      </c>
      <c r="F636" s="10">
        <v>34.18</v>
      </c>
      <c r="G636" s="27">
        <v>84.76</v>
      </c>
      <c r="H636" s="27">
        <f>'[3]Plan Tron'!F109</f>
        <v>104.32</v>
      </c>
      <c r="I636" s="9">
        <v>26.44</v>
      </c>
      <c r="J636" s="9">
        <f>ROUND(H636*(I636/100+1),2)</f>
        <v>131.9</v>
      </c>
      <c r="K636" s="474">
        <v>0</v>
      </c>
      <c r="L636" s="474">
        <f>F636-K636</f>
        <v>34.18</v>
      </c>
      <c r="M636" s="471">
        <f t="shared" si="61"/>
        <v>4508.34</v>
      </c>
      <c r="N636" s="405"/>
      <c r="O636" s="541"/>
      <c r="P636" s="405"/>
      <c r="Q636" s="405"/>
      <c r="S636" s="344" t="str">
        <f t="shared" si="64"/>
        <v>COBOGO DE CONCRETO (ELEMENTO VAZADO), 7X50X50CM, ASSENTADO COM ARGAMASSA TRACO 1:4 (CIMENTO E AREIA)</v>
      </c>
    </row>
    <row r="637" spans="1:19" s="414" customFormat="1" hidden="1">
      <c r="A637" s="410" t="s">
        <v>414</v>
      </c>
      <c r="B637" s="411"/>
      <c r="C637" s="410"/>
      <c r="D637" s="429" t="s">
        <v>2104</v>
      </c>
      <c r="E637" s="617"/>
      <c r="F637" s="413"/>
      <c r="G637" s="619"/>
      <c r="H637" s="619"/>
      <c r="I637" s="412"/>
      <c r="J637" s="412"/>
      <c r="K637" s="498"/>
      <c r="L637" s="474"/>
      <c r="M637" s="471"/>
      <c r="N637" s="419"/>
      <c r="O637" s="541"/>
      <c r="P637" s="419"/>
      <c r="Q637" s="419"/>
      <c r="S637" s="414" t="str">
        <f t="shared" si="64"/>
        <v>ALVENARIA DE TIJOLOS CERÂMICOS</v>
      </c>
    </row>
    <row r="638" spans="1:19" s="344" customFormat="1" ht="25.5" hidden="1">
      <c r="A638" s="49" t="s">
        <v>413</v>
      </c>
      <c r="B638" s="49">
        <f>'[3]Plan Tron'!B69</f>
        <v>72132</v>
      </c>
      <c r="C638" s="49" t="str">
        <f>'[3]Plan Tron'!C69</f>
        <v>SINAPI</v>
      </c>
      <c r="D638" s="130" t="str">
        <f>'[3]Plan Tron'!D69</f>
        <v>ALVENARIA EM TIJOLO CERAMICO MACICO 5X10X20CM 1/2 VEZ (ESPESSURA 10CM), ASSENTADO COM ARGAMASSA TRACO 1:2:8 (CIMENTO, CAL E AREIA)</v>
      </c>
      <c r="E638" s="7" t="str">
        <f>'[3]Plan Tron'!E69</f>
        <v>M²</v>
      </c>
      <c r="F638" s="10">
        <v>0.2</v>
      </c>
      <c r="G638" s="27">
        <v>38.4</v>
      </c>
      <c r="H638" s="27">
        <f>'[3]Plan Tron'!F69</f>
        <v>57.5</v>
      </c>
      <c r="I638" s="9">
        <v>26.44</v>
      </c>
      <c r="J638" s="9">
        <f>ROUND(H638*(I638/100+1),2)</f>
        <v>72.7</v>
      </c>
      <c r="K638" s="658">
        <v>0.2</v>
      </c>
      <c r="L638" s="474">
        <f>F638-K638</f>
        <v>0</v>
      </c>
      <c r="M638" s="471">
        <f t="shared" si="61"/>
        <v>0</v>
      </c>
      <c r="N638" s="405"/>
      <c r="O638" s="541"/>
      <c r="P638" s="405"/>
      <c r="Q638" s="405"/>
      <c r="S638" s="344" t="str">
        <f t="shared" si="64"/>
        <v>ALVENARIA EM TIJOLO CERAMICO MACICO 5X10X20CM 1/2 VEZ (ESPESSURA 10CM), ASSENTADO COM ARGAMASSA TRACO 1:2:8 (CIMENTO, CAL E AREIA)</v>
      </c>
    </row>
    <row r="639" spans="1:19" s="344" customFormat="1" ht="25.5" hidden="1">
      <c r="A639" s="49" t="s">
        <v>662</v>
      </c>
      <c r="B639" s="49">
        <f>'[3]Plan Tron'!B70</f>
        <v>72131</v>
      </c>
      <c r="C639" s="49" t="str">
        <f>'[3]Plan Tron'!C70</f>
        <v>SINAPI</v>
      </c>
      <c r="D639" s="130" t="str">
        <f>'[3]Plan Tron'!D70</f>
        <v>ALVENARIA EM TIJOLO CERAMICO MACICO 5X10X20CM 1 VEZ (ESPESSURA 20CM), ASSENTADO COM ARGAMASSA TRACO 1:2:8 (CIMENTO, CAL E AREIA)</v>
      </c>
      <c r="E639" s="7" t="str">
        <f>'[3]Plan Tron'!E70</f>
        <v>M²</v>
      </c>
      <c r="F639" s="10">
        <v>10.81</v>
      </c>
      <c r="G639" s="27">
        <v>73.180000000000007</v>
      </c>
      <c r="H639" s="27">
        <f>'[3]Plan Tron'!F70</f>
        <v>110.93</v>
      </c>
      <c r="I639" s="9">
        <v>26.44</v>
      </c>
      <c r="J639" s="9">
        <f>ROUND(H639*(I639/100+1),2)</f>
        <v>140.26</v>
      </c>
      <c r="K639" s="383">
        <v>10.81</v>
      </c>
      <c r="L639" s="474">
        <f>F639-K639</f>
        <v>0</v>
      </c>
      <c r="M639" s="471">
        <f t="shared" si="61"/>
        <v>0</v>
      </c>
      <c r="N639" s="405"/>
      <c r="O639" s="541"/>
      <c r="P639" s="405"/>
      <c r="Q639" s="405"/>
      <c r="S639" s="344" t="str">
        <f t="shared" si="64"/>
        <v>ALVENARIA EM TIJOLO CERAMICO MACICO 5X10X20CM 1 VEZ (ESPESSURA 20CM), ASSENTADO COM ARGAMASSA TRACO 1:2:8 (CIMENTO, CAL E AREIA)</v>
      </c>
    </row>
    <row r="640" spans="1:19" s="344" customFormat="1">
      <c r="A640" s="49"/>
      <c r="B640" s="17"/>
      <c r="C640" s="49"/>
      <c r="D640" s="17"/>
      <c r="E640" s="7"/>
      <c r="F640" s="10"/>
      <c r="G640" s="9"/>
      <c r="H640" s="9"/>
      <c r="I640" s="9"/>
      <c r="J640" s="9"/>
      <c r="K640" s="17"/>
      <c r="L640" s="474"/>
      <c r="M640" s="471"/>
      <c r="N640" s="405"/>
      <c r="O640" s="541"/>
      <c r="P640" s="405"/>
      <c r="Q640" s="405"/>
    </row>
    <row r="641" spans="1:19" s="344" customFormat="1">
      <c r="A641" s="49"/>
      <c r="B641" s="17"/>
      <c r="C641" s="49"/>
      <c r="D641" s="53" t="s">
        <v>76</v>
      </c>
      <c r="E641" s="7"/>
      <c r="F641" s="10"/>
      <c r="G641" s="27"/>
      <c r="H641" s="27"/>
      <c r="I641" s="9"/>
      <c r="J641" s="9"/>
      <c r="K641" s="383"/>
      <c r="L641" s="474"/>
      <c r="M641" s="471"/>
      <c r="N641" s="405"/>
      <c r="O641" s="541"/>
      <c r="P641" s="405"/>
      <c r="Q641" s="405"/>
      <c r="S641" s="344" t="str">
        <f t="shared" ref="S641:S653" si="65">UPPER(D641)</f>
        <v/>
      </c>
    </row>
    <row r="642" spans="1:19" s="344" customFormat="1">
      <c r="A642" s="45">
        <v>4</v>
      </c>
      <c r="B642" s="17"/>
      <c r="C642" s="45"/>
      <c r="D642" s="53" t="s">
        <v>2125</v>
      </c>
      <c r="E642" s="7"/>
      <c r="F642" s="10"/>
      <c r="G642" s="27"/>
      <c r="H642" s="27"/>
      <c r="I642" s="9"/>
      <c r="J642" s="9"/>
      <c r="K642" s="383"/>
      <c r="L642" s="474"/>
      <c r="M642" s="471"/>
      <c r="N642" s="405"/>
      <c r="O642" s="541"/>
      <c r="P642" s="405"/>
      <c r="Q642" s="405"/>
      <c r="S642" s="344" t="str">
        <f t="shared" si="65"/>
        <v>COBERTURA</v>
      </c>
    </row>
    <row r="643" spans="1:19" s="414" customFormat="1">
      <c r="A643" s="410" t="s">
        <v>139</v>
      </c>
      <c r="B643" s="411"/>
      <c r="C643" s="410"/>
      <c r="D643" s="429" t="s">
        <v>2126</v>
      </c>
      <c r="E643" s="617"/>
      <c r="F643" s="422"/>
      <c r="G643" s="619"/>
      <c r="H643" s="619"/>
      <c r="I643" s="412"/>
      <c r="J643" s="412"/>
      <c r="K643" s="498"/>
      <c r="L643" s="474"/>
      <c r="M643" s="471"/>
      <c r="N643" s="419"/>
      <c r="O643" s="541"/>
      <c r="P643" s="419"/>
      <c r="Q643" s="419"/>
      <c r="S643" s="414" t="str">
        <f t="shared" si="65"/>
        <v>TELHAMENTO COM TELHA DE FIBROCIMENTO</v>
      </c>
    </row>
    <row r="644" spans="1:19" s="344" customFormat="1" ht="25.5">
      <c r="A644" s="49" t="s">
        <v>138</v>
      </c>
      <c r="B644" s="49">
        <f>'[3]Plan Tron'!B85</f>
        <v>94218</v>
      </c>
      <c r="C644" s="49" t="str">
        <f>'[3]Plan Tron'!C85</f>
        <v>SINAPI</v>
      </c>
      <c r="D644" s="130" t="str">
        <f>'[3]Plan Tron'!D85</f>
        <v xml:space="preserve"> TELHAMENTO COM TELHA ESTRUTURAL DE FIBROCIMENTO E= 6 MM, COM ATÉ 2 ÁGUAS, INCLUSO IÇAMENTO. AF_06/2016</v>
      </c>
      <c r="E644" s="77" t="str">
        <f>'[3]Plan Tron'!E85</f>
        <v>M²</v>
      </c>
      <c r="F644" s="21">
        <v>266.8</v>
      </c>
      <c r="G644" s="27">
        <v>73.97</v>
      </c>
      <c r="H644" s="27">
        <f>'[3]Plan Tron'!F85</f>
        <v>84.16</v>
      </c>
      <c r="I644" s="9">
        <v>26.44</v>
      </c>
      <c r="J644" s="9">
        <f>ROUND(H644*(I644/100+1),2)</f>
        <v>106.41</v>
      </c>
      <c r="K644" s="383">
        <v>0</v>
      </c>
      <c r="L644" s="474">
        <f>F644-K644</f>
        <v>266.8</v>
      </c>
      <c r="M644" s="471">
        <f t="shared" si="61"/>
        <v>28390.19</v>
      </c>
      <c r="N644" s="405"/>
      <c r="O644" s="541"/>
      <c r="P644" s="405"/>
      <c r="Q644" s="405"/>
      <c r="S644" s="344" t="str">
        <f t="shared" si="65"/>
        <v xml:space="preserve"> TELHAMENTO COM TELHA ESTRUTURAL DE FIBROCIMENTO E= 6 MM, COM ATÉ 2 ÁGUAS, INCLUSO IÇAMENTO. AF_06/2016</v>
      </c>
    </row>
    <row r="645" spans="1:19" s="414" customFormat="1">
      <c r="A645" s="410" t="s">
        <v>411</v>
      </c>
      <c r="B645" s="411"/>
      <c r="C645" s="410"/>
      <c r="D645" s="429" t="s">
        <v>2179</v>
      </c>
      <c r="E645" s="617"/>
      <c r="F645" s="422"/>
      <c r="G645" s="412"/>
      <c r="H645" s="412"/>
      <c r="I645" s="412"/>
      <c r="J645" s="412"/>
      <c r="K645" s="498"/>
      <c r="L645" s="474"/>
      <c r="M645" s="471"/>
      <c r="N645" s="419"/>
      <c r="O645" s="541"/>
      <c r="P645" s="419"/>
      <c r="Q645" s="419"/>
      <c r="S645" s="414" t="str">
        <f t="shared" si="65"/>
        <v>RUFO METÁLICO</v>
      </c>
    </row>
    <row r="646" spans="1:19" s="344" customFormat="1" ht="25.5">
      <c r="A646" s="49" t="s">
        <v>931</v>
      </c>
      <c r="B646" s="37">
        <f>'[3]Plan Tron'!B110</f>
        <v>94231</v>
      </c>
      <c r="C646" s="49" t="str">
        <f>'[3]Plan Tron'!C110</f>
        <v>SINAPI</v>
      </c>
      <c r="D646" s="130" t="str">
        <f>'[3]Plan Tron'!D110</f>
        <v>RUFO EM CHAPA DE AÇO GALVANIZADO NÚMERO 24, CORTE DE 25 CM, INCLUSO TRANSPORTE VERTICAL. AF_06/2016</v>
      </c>
      <c r="E646" s="77" t="str">
        <f>'[3]Plan Tron'!E110</f>
        <v>M</v>
      </c>
      <c r="F646" s="21">
        <v>114</v>
      </c>
      <c r="G646" s="9">
        <v>19.649999999999999</v>
      </c>
      <c r="H646" s="9">
        <f>'[3]Plan Tron'!F110</f>
        <v>24.15</v>
      </c>
      <c r="I646" s="9">
        <v>26.44</v>
      </c>
      <c r="J646" s="9">
        <f>ROUND(H646*(I646/100+1),2)</f>
        <v>30.54</v>
      </c>
      <c r="K646" s="383">
        <v>0</v>
      </c>
      <c r="L646" s="474">
        <f>F646-K646</f>
        <v>114</v>
      </c>
      <c r="M646" s="471">
        <f t="shared" si="61"/>
        <v>3481.56</v>
      </c>
      <c r="N646" s="405"/>
      <c r="O646" s="541"/>
      <c r="P646" s="405"/>
      <c r="Q646" s="405"/>
      <c r="S646" s="344" t="str">
        <f t="shared" si="65"/>
        <v>RUFO EM CHAPA DE AÇO GALVANIZADO NÚMERO 24, CORTE DE 25 CM, INCLUSO TRANSPORTE VERTICAL. AF_06/2016</v>
      </c>
    </row>
    <row r="647" spans="1:19" s="344" customFormat="1">
      <c r="A647" s="49" t="s">
        <v>930</v>
      </c>
      <c r="B647" s="37">
        <f>'[3]Plan Tron'!B111</f>
        <v>163302</v>
      </c>
      <c r="C647" s="49" t="str">
        <f>'[3]Plan Tron'!C111</f>
        <v>CPOS</v>
      </c>
      <c r="D647" s="130" t="str">
        <f>UPPER('[3]Plan Tron'!D111)</f>
        <v xml:space="preserve">CALHA, RUFO, AFINS EM CHAPA GALVANIZADA Nº 24 - CORTE 0,33 M </v>
      </c>
      <c r="E647" s="77" t="str">
        <f>'[3]Plan Tron'!E111</f>
        <v>M</v>
      </c>
      <c r="F647" s="21">
        <v>1.26</v>
      </c>
      <c r="G647" s="9">
        <v>29.98</v>
      </c>
      <c r="H647" s="9">
        <f>'[3]Plan Tron'!F111</f>
        <v>52.9</v>
      </c>
      <c r="I647" s="9">
        <v>26.44</v>
      </c>
      <c r="J647" s="9">
        <f>ROUND(H647*(I647/100+1),2)</f>
        <v>66.89</v>
      </c>
      <c r="K647" s="383">
        <v>0</v>
      </c>
      <c r="L647" s="474">
        <f>F647-K647</f>
        <v>1.26</v>
      </c>
      <c r="M647" s="471">
        <f t="shared" si="61"/>
        <v>84.28</v>
      </c>
      <c r="N647" s="405"/>
      <c r="O647" s="541"/>
      <c r="P647" s="405"/>
      <c r="Q647" s="405"/>
      <c r="S647" s="344" t="str">
        <f t="shared" si="65"/>
        <v xml:space="preserve">CALHA, RUFO, AFINS EM CHAPA GALVANIZADA Nº 24 - CORTE 0,33 M </v>
      </c>
    </row>
    <row r="648" spans="1:19" s="344" customFormat="1">
      <c r="A648" s="49" t="s">
        <v>929</v>
      </c>
      <c r="B648" s="37">
        <v>72106</v>
      </c>
      <c r="C648" s="49" t="s">
        <v>2015</v>
      </c>
      <c r="D648" s="130" t="s">
        <v>2180</v>
      </c>
      <c r="E648" s="7" t="s">
        <v>2336</v>
      </c>
      <c r="F648" s="21">
        <v>93.2</v>
      </c>
      <c r="G648" s="9">
        <v>16.12</v>
      </c>
      <c r="H648" s="9">
        <f>'[3]Plan Tron'!F112</f>
        <v>73.459999999999994</v>
      </c>
      <c r="I648" s="9">
        <v>26.44</v>
      </c>
      <c r="J648" s="9">
        <f>ROUND(H648*(I648/100+1),2)</f>
        <v>92.88</v>
      </c>
      <c r="K648" s="383">
        <v>0</v>
      </c>
      <c r="L648" s="474">
        <f>F648-K648</f>
        <v>93.2</v>
      </c>
      <c r="M648" s="471">
        <f t="shared" si="61"/>
        <v>8656.42</v>
      </c>
      <c r="N648" s="405"/>
      <c r="O648" s="541"/>
      <c r="P648" s="405"/>
      <c r="Q648" s="405"/>
      <c r="S648" s="344" t="str">
        <f t="shared" si="65"/>
        <v>RUFO EM CHAPA DE ACO GALVANIZADO NUMERO 24, DESENVOLVIMENTO DE  16 CM</v>
      </c>
    </row>
    <row r="649" spans="1:19" s="414" customFormat="1">
      <c r="A649" s="410" t="s">
        <v>410</v>
      </c>
      <c r="B649" s="411"/>
      <c r="C649" s="410"/>
      <c r="D649" s="429" t="s">
        <v>2181</v>
      </c>
      <c r="E649" s="617"/>
      <c r="F649" s="422"/>
      <c r="G649" s="412"/>
      <c r="H649" s="412"/>
      <c r="I649" s="412"/>
      <c r="J649" s="412"/>
      <c r="K649" s="498"/>
      <c r="L649" s="474"/>
      <c r="M649" s="471"/>
      <c r="N649" s="419"/>
      <c r="O649" s="541"/>
      <c r="P649" s="419"/>
      <c r="Q649" s="419"/>
      <c r="S649" s="414" t="str">
        <f t="shared" si="65"/>
        <v>CALHA METÁLICA</v>
      </c>
    </row>
    <row r="650" spans="1:19" s="344" customFormat="1">
      <c r="A650" s="49" t="s">
        <v>928</v>
      </c>
      <c r="B650" s="37">
        <f>'[3]Plan Tron'!B112</f>
        <v>163304</v>
      </c>
      <c r="C650" s="49" t="str">
        <f>'[3]Plan Tron'!C112</f>
        <v>CPOS</v>
      </c>
      <c r="D650" s="130" t="str">
        <f>UPPER('[3]Plan Tron'!D112)</f>
        <v xml:space="preserve">CALHA, RUFO, AFINS EM CHAPA GALVANIZADA Nº 24 - CORTE 0,50 M </v>
      </c>
      <c r="E650" s="77" t="str">
        <f>'[3]Plan Tron'!E112</f>
        <v>M</v>
      </c>
      <c r="F650" s="21">
        <v>45.6</v>
      </c>
      <c r="G650" s="9">
        <v>38.42</v>
      </c>
      <c r="H650" s="9">
        <f>'[3]Plan Tron'!F112</f>
        <v>73.459999999999994</v>
      </c>
      <c r="I650" s="9">
        <v>26.44</v>
      </c>
      <c r="J650" s="9">
        <f>ROUND(H650*(I650/100+1),2)</f>
        <v>92.88</v>
      </c>
      <c r="K650" s="383">
        <v>0</v>
      </c>
      <c r="L650" s="474">
        <f>F650-K650</f>
        <v>45.6</v>
      </c>
      <c r="M650" s="471">
        <f t="shared" si="61"/>
        <v>4235.33</v>
      </c>
      <c r="N650" s="405"/>
      <c r="O650" s="541"/>
      <c r="P650" s="405"/>
      <c r="Q650" s="405"/>
      <c r="S650" s="344" t="str">
        <f t="shared" si="65"/>
        <v xml:space="preserve">CALHA, RUFO, AFINS EM CHAPA GALVANIZADA Nº 24 - CORTE 0,50 M </v>
      </c>
    </row>
    <row r="651" spans="1:19" s="414" customFormat="1">
      <c r="A651" s="410" t="s">
        <v>410</v>
      </c>
      <c r="B651" s="411"/>
      <c r="C651" s="410"/>
      <c r="D651" s="429" t="s">
        <v>2182</v>
      </c>
      <c r="E651" s="617"/>
      <c r="F651" s="422"/>
      <c r="G651" s="412"/>
      <c r="H651" s="412"/>
      <c r="I651" s="412"/>
      <c r="J651" s="412"/>
      <c r="K651" s="498"/>
      <c r="L651" s="474"/>
      <c r="M651" s="471"/>
      <c r="N651" s="419"/>
      <c r="O651" s="541"/>
      <c r="P651" s="419"/>
      <c r="Q651" s="419"/>
      <c r="S651" s="414" t="str">
        <f t="shared" si="65"/>
        <v>CALHA DE PVC, PEÇAS E ACESSÓRIOS</v>
      </c>
    </row>
    <row r="652" spans="1:19" s="344" customFormat="1" ht="25.5">
      <c r="A652" s="49" t="s">
        <v>928</v>
      </c>
      <c r="B652" s="37">
        <f>'[3]Plan Tron'!B113</f>
        <v>94230</v>
      </c>
      <c r="C652" s="49" t="str">
        <f>'[3]Plan Tron'!C113</f>
        <v>SINAPI</v>
      </c>
      <c r="D652" s="130" t="str">
        <f>'[3]Plan Tron'!D113</f>
        <v>CALHA DE BEIRAL, SEMICIRCULAR DE PVC, DIAMETRO 125 MM, INCLUINDO CABECEIRAS, EMENDAS, BOCAIS, SUPORTES E VEDAÇÕES, EXCLUINDO CONDUTORES, INCLUSO TRANSPORTE VERTICAL. AF_06/2016</v>
      </c>
      <c r="E652" s="77" t="str">
        <f>'[3]Plan Tron'!E113</f>
        <v>M</v>
      </c>
      <c r="F652" s="21">
        <v>23</v>
      </c>
      <c r="G652" s="9">
        <v>113.32</v>
      </c>
      <c r="H652" s="9">
        <f>'[3]Plan Tron'!F113</f>
        <v>57.15</v>
      </c>
      <c r="I652" s="9">
        <v>26.44</v>
      </c>
      <c r="J652" s="9">
        <f>ROUND(H652*(I652/100+1),2)</f>
        <v>72.260000000000005</v>
      </c>
      <c r="K652" s="383">
        <v>0</v>
      </c>
      <c r="L652" s="474">
        <f>F652-K652</f>
        <v>23</v>
      </c>
      <c r="M652" s="471">
        <f t="shared" ref="M652:M715" si="66">ROUND(L652*J652,2)</f>
        <v>1661.98</v>
      </c>
      <c r="N652" s="405"/>
      <c r="O652" s="541"/>
      <c r="P652" s="405"/>
      <c r="Q652" s="405"/>
      <c r="S652" s="344" t="str">
        <f t="shared" si="65"/>
        <v>CALHA DE BEIRAL, SEMICIRCULAR DE PVC, DIAMETRO 125 MM, INCLUINDO CABECEIRAS, EMENDAS, BOCAIS, SUPORTES E VEDAÇÕES, EXCLUINDO CONDUTORES, INCLUSO TRANSPORTE VERTICAL. AF_06/2016</v>
      </c>
    </row>
    <row r="653" spans="1:19" s="344" customFormat="1">
      <c r="A653" s="49" t="s">
        <v>927</v>
      </c>
      <c r="B653" s="37" t="s">
        <v>926</v>
      </c>
      <c r="C653" s="49"/>
      <c r="D653" s="130" t="s">
        <v>2183</v>
      </c>
      <c r="E653" s="7" t="s">
        <v>1721</v>
      </c>
      <c r="F653" s="21">
        <v>10</v>
      </c>
      <c r="G653" s="9">
        <v>54.21</v>
      </c>
      <c r="H653" s="9">
        <f t="shared" ref="H653" si="67">G653*$P$7</f>
        <v>62.628813000000001</v>
      </c>
      <c r="I653" s="9">
        <v>26.44</v>
      </c>
      <c r="J653" s="9">
        <f>ROUND(H653*(I653/100+1),2)</f>
        <v>79.19</v>
      </c>
      <c r="K653" s="383">
        <v>0</v>
      </c>
      <c r="L653" s="474">
        <f>F653-K653</f>
        <v>10</v>
      </c>
      <c r="M653" s="471">
        <f t="shared" si="66"/>
        <v>791.9</v>
      </c>
      <c r="N653" s="405"/>
      <c r="O653" s="541"/>
      <c r="P653" s="405"/>
      <c r="Q653" s="405"/>
      <c r="S653" s="344" t="str">
        <f t="shared" si="65"/>
        <v>FUNIL DE FERRO GALVANIZADO PARA ÁGUAS PLUVIAIS</v>
      </c>
    </row>
    <row r="654" spans="1:19" s="344" customFormat="1">
      <c r="A654" s="49"/>
      <c r="B654" s="17"/>
      <c r="C654" s="49"/>
      <c r="D654" s="17"/>
      <c r="E654" s="7"/>
      <c r="F654" s="10"/>
      <c r="G654" s="9"/>
      <c r="H654" s="9"/>
      <c r="I654" s="9"/>
      <c r="J654" s="9"/>
      <c r="K654" s="17"/>
      <c r="L654" s="474"/>
      <c r="M654" s="471"/>
      <c r="N654" s="405"/>
      <c r="O654" s="541"/>
      <c r="P654" s="405"/>
      <c r="Q654" s="405"/>
    </row>
    <row r="655" spans="1:19" s="344" customFormat="1">
      <c r="A655" s="49"/>
      <c r="B655" s="17"/>
      <c r="C655" s="49"/>
      <c r="D655" s="53" t="s">
        <v>76</v>
      </c>
      <c r="E655" s="7"/>
      <c r="F655" s="10"/>
      <c r="G655" s="27"/>
      <c r="H655" s="27"/>
      <c r="I655" s="9"/>
      <c r="J655" s="9"/>
      <c r="K655" s="383"/>
      <c r="L655" s="474"/>
      <c r="M655" s="471"/>
      <c r="N655" s="405"/>
      <c r="O655" s="541"/>
      <c r="P655" s="405"/>
      <c r="Q655" s="405"/>
      <c r="S655" s="344" t="str">
        <f t="shared" ref="S655:S669" si="68">UPPER(D655)</f>
        <v/>
      </c>
    </row>
    <row r="656" spans="1:19" s="344" customFormat="1">
      <c r="A656" s="45">
        <v>5</v>
      </c>
      <c r="B656" s="17"/>
      <c r="C656" s="45"/>
      <c r="D656" s="53" t="s">
        <v>2070</v>
      </c>
      <c r="E656" s="7"/>
      <c r="F656" s="10"/>
      <c r="G656" s="27"/>
      <c r="H656" s="27"/>
      <c r="I656" s="9"/>
      <c r="J656" s="9"/>
      <c r="K656" s="383"/>
      <c r="L656" s="474"/>
      <c r="M656" s="471"/>
      <c r="N656" s="405"/>
      <c r="O656" s="541"/>
      <c r="P656" s="405"/>
      <c r="Q656" s="405"/>
      <c r="S656" s="344" t="str">
        <f t="shared" si="68"/>
        <v>ESQUADRIAS / FERRAGENS / VIDROS</v>
      </c>
    </row>
    <row r="657" spans="1:19" s="414" customFormat="1">
      <c r="A657" s="410" t="s">
        <v>136</v>
      </c>
      <c r="B657" s="425"/>
      <c r="C657" s="410"/>
      <c r="D657" s="426" t="s">
        <v>2184</v>
      </c>
      <c r="E657" s="617"/>
      <c r="F657" s="422"/>
      <c r="G657" s="619"/>
      <c r="H657" s="619"/>
      <c r="I657" s="412"/>
      <c r="J657" s="412"/>
      <c r="K657" s="498"/>
      <c r="L657" s="474"/>
      <c r="M657" s="471"/>
      <c r="N657" s="419"/>
      <c r="O657" s="541"/>
      <c r="P657" s="419"/>
      <c r="Q657" s="419"/>
      <c r="S657" s="414" t="str">
        <f t="shared" si="68"/>
        <v>PORTA DE MADEIRA</v>
      </c>
    </row>
    <row r="658" spans="1:19" s="414" customFormat="1">
      <c r="A658" s="410" t="s">
        <v>135</v>
      </c>
      <c r="B658" s="425"/>
      <c r="C658" s="410"/>
      <c r="D658" s="426" t="s">
        <v>2185</v>
      </c>
      <c r="E658" s="617"/>
      <c r="F658" s="422"/>
      <c r="G658" s="619"/>
      <c r="H658" s="619"/>
      <c r="I658" s="412"/>
      <c r="J658" s="412"/>
      <c r="K658" s="498"/>
      <c r="L658" s="474"/>
      <c r="M658" s="471"/>
      <c r="N658" s="419"/>
      <c r="O658" s="541"/>
      <c r="P658" s="419"/>
      <c r="Q658" s="419"/>
      <c r="S658" s="414" t="str">
        <f t="shared" si="68"/>
        <v>PORTA DE MADEIRA COMPENSADA LISA</v>
      </c>
    </row>
    <row r="659" spans="1:19" s="344" customFormat="1" ht="41.25" customHeight="1">
      <c r="A659" s="49" t="s">
        <v>134</v>
      </c>
      <c r="B659" s="49">
        <f>'[3]Plan Tron'!B114</f>
        <v>91013</v>
      </c>
      <c r="C659" s="49" t="str">
        <f>'[3]Plan Tron'!C114</f>
        <v>SINAPI</v>
      </c>
      <c r="D659" s="63" t="str">
        <f>'[3]Plan Tron'!D114</f>
        <v>KIT DE PORTA DE MADEIRA PARA VERNIZ, SEMI-OCA (LEVE OU MÉDIA), PADRÃO MÉDIO, 60X210CM, ESPESSURA DE 3,5CM, ITENS INCLUSOS: DOBRADIÇAS, MONTAGEM E INSTALAÇÃO DO BATENTE, SEM FECHADURA - FORNECIMENTO E INSTALAÇÃO. AF_08/2015</v>
      </c>
      <c r="E659" s="77" t="str">
        <f>'[3]Plan Tron'!E114</f>
        <v>UN.</v>
      </c>
      <c r="F659" s="21">
        <v>6</v>
      </c>
      <c r="G659" s="27">
        <v>373.54</v>
      </c>
      <c r="H659" s="27">
        <f>'[3]Plan Tron'!F114</f>
        <v>549.4</v>
      </c>
      <c r="I659" s="9">
        <v>26.44</v>
      </c>
      <c r="J659" s="9">
        <f>ROUND(H659*(I659/100+1),2)</f>
        <v>694.66</v>
      </c>
      <c r="K659" s="383">
        <v>0</v>
      </c>
      <c r="L659" s="474">
        <f>F659-K659</f>
        <v>6</v>
      </c>
      <c r="M659" s="471">
        <f t="shared" si="66"/>
        <v>4167.96</v>
      </c>
      <c r="N659" s="405"/>
      <c r="O659" s="541"/>
      <c r="P659" s="405"/>
      <c r="Q659" s="405"/>
      <c r="S659" s="344" t="str">
        <f t="shared" si="68"/>
        <v>KIT DE PORTA DE MADEIRA PARA VERNIZ, SEMI-OCA (LEVE OU MÉDIA), PADRÃO MÉDIO, 60X210CM, ESPESSURA DE 3,5CM, ITENS INCLUSOS: DOBRADIÇAS, MONTAGEM E INSTALAÇÃO DO BATENTE, SEM FECHADURA - FORNECIMENTO E INSTALAÇÃO. AF_08/2015</v>
      </c>
    </row>
    <row r="660" spans="1:19" s="344" customFormat="1">
      <c r="A660" s="49" t="s">
        <v>925</v>
      </c>
      <c r="B660" s="49">
        <f>'[3]Plan Tron'!B190</f>
        <v>230203</v>
      </c>
      <c r="C660" s="49" t="str">
        <f>'[3]Plan Tron'!C190</f>
        <v>CPOS</v>
      </c>
      <c r="D660" s="612" t="str">
        <f>UPPER('[3]Plan Tron'!D190)</f>
        <v xml:space="preserve">PORTA MACHO E FÊMEA COM BATENTE DE MADEIRA - 72 X 210 CM </v>
      </c>
      <c r="E660" s="49" t="str">
        <f>'[3]Plan Tron'!E190</f>
        <v>UN.</v>
      </c>
      <c r="F660" s="21">
        <v>2</v>
      </c>
      <c r="G660" s="27">
        <v>379.05</v>
      </c>
      <c r="H660" s="27">
        <f>'[3]Plan Tron'!F190</f>
        <v>634.41999999999996</v>
      </c>
      <c r="I660" s="9">
        <v>26.44</v>
      </c>
      <c r="J660" s="9">
        <f>ROUND(H660*(I660/100+1),2)</f>
        <v>802.16</v>
      </c>
      <c r="K660" s="383">
        <v>0</v>
      </c>
      <c r="L660" s="474">
        <f>F660-K660</f>
        <v>2</v>
      </c>
      <c r="M660" s="471">
        <f t="shared" si="66"/>
        <v>1604.32</v>
      </c>
      <c r="N660" s="405"/>
      <c r="O660" s="541"/>
      <c r="P660" s="405"/>
      <c r="Q660" s="405"/>
      <c r="S660" s="344" t="str">
        <f t="shared" si="68"/>
        <v xml:space="preserve">PORTA MACHO E FÊMEA COM BATENTE DE MADEIRA - 72 X 210 CM </v>
      </c>
    </row>
    <row r="661" spans="1:19" s="344" customFormat="1" ht="44.25" customHeight="1">
      <c r="A661" s="49" t="s">
        <v>924</v>
      </c>
      <c r="B661" s="49">
        <f>'[3]Plan Tron'!B116</f>
        <v>91015</v>
      </c>
      <c r="C661" s="49" t="str">
        <f>'[3]Plan Tron'!C116</f>
        <v>SINAPI</v>
      </c>
      <c r="D661" s="63" t="str">
        <f>'[3]Plan Tron'!D116</f>
        <v>KIT DE PORTA DE MADEIRA PARA VERNIZ, SEMI-OCA (LEVE OU MÉDIA), PADRÃO MÉDIO, 80X210CM, ESPESSURA DE 3,5CM, ITENS INCLUSOS: DOBRADIÇAS, MONTAGEM E INSTALAÇÃO DO BATENTE, SEM FECHADURA - FORNECIMENTO E INSTALAÇÃO. AF_08/2015</v>
      </c>
      <c r="E661" s="77" t="str">
        <f>'[3]Plan Tron'!E116</f>
        <v>UN.</v>
      </c>
      <c r="F661" s="21">
        <v>10</v>
      </c>
      <c r="G661" s="27">
        <v>385.84</v>
      </c>
      <c r="H661" s="27">
        <f>'[3]Plan Tron'!F116</f>
        <v>615.78</v>
      </c>
      <c r="I661" s="9">
        <v>26.44</v>
      </c>
      <c r="J661" s="9">
        <f>ROUND(H661*(I661/100+1),2)</f>
        <v>778.59</v>
      </c>
      <c r="K661" s="383">
        <v>0</v>
      </c>
      <c r="L661" s="474">
        <f>F661-K661</f>
        <v>10</v>
      </c>
      <c r="M661" s="471">
        <f t="shared" si="66"/>
        <v>7785.9</v>
      </c>
      <c r="N661" s="405"/>
      <c r="O661" s="541"/>
      <c r="P661" s="405"/>
      <c r="Q661" s="405"/>
      <c r="S661" s="344" t="str">
        <f t="shared" si="68"/>
        <v>KIT DE PORTA DE MADEIRA PARA VERNIZ, SEMI-OCA (LEVE OU MÉDIA), PADRÃO MÉDIO, 80X210CM, ESPESSURA DE 3,5CM, ITENS INCLUSOS: DOBRADIÇAS, MONTAGEM E INSTALAÇÃO DO BATENTE, SEM FECHADURA - FORNECIMENTO E INSTALAÇÃO. AF_08/2015</v>
      </c>
    </row>
    <row r="662" spans="1:19" s="344" customFormat="1" ht="39" customHeight="1">
      <c r="A662" s="49" t="s">
        <v>923</v>
      </c>
      <c r="B662" s="49">
        <f>'[3]Plan Tron'!B117</f>
        <v>91016</v>
      </c>
      <c r="C662" s="49" t="str">
        <f>'[3]Plan Tron'!C117</f>
        <v>SINAPI</v>
      </c>
      <c r="D662" s="63" t="str">
        <f>'[3]Plan Tron'!D117</f>
        <v>KIT DE PORTA DE MADEIRA PARA VERNIZ, SEMI-OCA (LEVE OU MÉDIA), PADRÃO MÉDIO, 90X210CM, ESPESSURA DE 3,5CM, ITENS INCLUSOS: DOBRADIÇAS, MONTAGEM E INSTALAÇÃO DO BATENTE, SEM FECHADURA - FORNECIMENTO E INSTALAÇÃO. AF_08/2015</v>
      </c>
      <c r="E662" s="77" t="str">
        <f>'[3]Plan Tron'!E117</f>
        <v>UN.</v>
      </c>
      <c r="F662" s="21">
        <v>2</v>
      </c>
      <c r="G662" s="27">
        <v>401.1</v>
      </c>
      <c r="H662" s="27">
        <f>'[3]Plan Tron'!F117</f>
        <v>617.34</v>
      </c>
      <c r="I662" s="9">
        <v>26.44</v>
      </c>
      <c r="J662" s="9">
        <f>ROUND(H662*(I662/100+1),2)</f>
        <v>780.56</v>
      </c>
      <c r="K662" s="383">
        <v>0</v>
      </c>
      <c r="L662" s="474">
        <f>F662-K662</f>
        <v>2</v>
      </c>
      <c r="M662" s="471">
        <f t="shared" si="66"/>
        <v>1561.12</v>
      </c>
      <c r="N662" s="405"/>
      <c r="O662" s="541"/>
      <c r="P662" s="405"/>
      <c r="Q662" s="405"/>
      <c r="S662" s="344" t="str">
        <f t="shared" si="68"/>
        <v>KIT DE PORTA DE MADEIRA PARA VERNIZ, SEMI-OCA (LEVE OU MÉDIA), PADRÃO MÉDIO, 90X210CM, ESPESSURA DE 3,5CM, ITENS INCLUSOS: DOBRADIÇAS, MONTAGEM E INSTALAÇÃO DO BATENTE, SEM FECHADURA - FORNECIMENTO E INSTALAÇÃO. AF_08/2015</v>
      </c>
    </row>
    <row r="663" spans="1:19" s="414" customFormat="1">
      <c r="A663" s="410"/>
      <c r="B663" s="411"/>
      <c r="C663" s="410"/>
      <c r="D663" s="429" t="s">
        <v>76</v>
      </c>
      <c r="E663" s="617"/>
      <c r="F663" s="422"/>
      <c r="G663" s="619"/>
      <c r="H663" s="619"/>
      <c r="I663" s="412"/>
      <c r="J663" s="412"/>
      <c r="K663" s="498"/>
      <c r="L663" s="474"/>
      <c r="M663" s="471"/>
      <c r="N663" s="419"/>
      <c r="O663" s="541"/>
      <c r="P663" s="419"/>
      <c r="Q663" s="419"/>
      <c r="S663" s="414" t="str">
        <f t="shared" si="68"/>
        <v/>
      </c>
    </row>
    <row r="664" spans="1:19" s="414" customFormat="1">
      <c r="A664" s="410" t="s">
        <v>126</v>
      </c>
      <c r="B664" s="425"/>
      <c r="C664" s="410"/>
      <c r="D664" s="426" t="s">
        <v>2186</v>
      </c>
      <c r="E664" s="617"/>
      <c r="F664" s="422"/>
      <c r="G664" s="619"/>
      <c r="H664" s="619"/>
      <c r="I664" s="412"/>
      <c r="J664" s="412"/>
      <c r="K664" s="498"/>
      <c r="L664" s="474"/>
      <c r="M664" s="471"/>
      <c r="N664" s="419"/>
      <c r="O664" s="541"/>
      <c r="P664" s="419"/>
      <c r="Q664" s="419"/>
      <c r="S664" s="414" t="str">
        <f t="shared" si="68"/>
        <v>JANELA DE ALUMÍNIO</v>
      </c>
    </row>
    <row r="665" spans="1:19" s="344" customFormat="1">
      <c r="A665" s="49" t="s">
        <v>125</v>
      </c>
      <c r="B665" s="49">
        <f>'[3]Plan Tron'!B118</f>
        <v>250104</v>
      </c>
      <c r="C665" s="49" t="str">
        <f>'[3]Plan Tron'!C118</f>
        <v>CPOS</v>
      </c>
      <c r="D665" s="63" t="str">
        <f>UPPER('[3]Plan Tron'!D118)</f>
        <v xml:space="preserve">CAIXILHO EM ALUMÍNIO BASCULANTE, SOB MEDIDA </v>
      </c>
      <c r="E665" s="77" t="str">
        <f>'[3]Plan Tron'!E118</f>
        <v>M²</v>
      </c>
      <c r="F665" s="21">
        <v>6.3</v>
      </c>
      <c r="G665" s="27">
        <v>579.95000000000005</v>
      </c>
      <c r="H665" s="27">
        <f>'[3]Plan Tron'!F118</f>
        <v>610.01</v>
      </c>
      <c r="I665" s="9">
        <v>26.44</v>
      </c>
      <c r="J665" s="9">
        <f>ROUND(H665*(I665/100+1),2)</f>
        <v>771.3</v>
      </c>
      <c r="K665" s="383">
        <v>0</v>
      </c>
      <c r="L665" s="474">
        <f>F665-K665</f>
        <v>6.3</v>
      </c>
      <c r="M665" s="471">
        <f t="shared" si="66"/>
        <v>4859.1899999999996</v>
      </c>
      <c r="N665" s="405"/>
      <c r="O665" s="541"/>
      <c r="P665" s="405"/>
      <c r="Q665" s="405"/>
      <c r="S665" s="344" t="str">
        <f t="shared" si="68"/>
        <v xml:space="preserve">CAIXILHO EM ALUMÍNIO BASCULANTE, SOB MEDIDA </v>
      </c>
    </row>
    <row r="666" spans="1:19" s="414" customFormat="1">
      <c r="A666" s="410" t="s">
        <v>806</v>
      </c>
      <c r="B666" s="425"/>
      <c r="C666" s="410"/>
      <c r="D666" s="426" t="s">
        <v>2187</v>
      </c>
      <c r="E666" s="617"/>
      <c r="F666" s="422"/>
      <c r="G666" s="619"/>
      <c r="H666" s="619"/>
      <c r="I666" s="412"/>
      <c r="J666" s="412"/>
      <c r="K666" s="498"/>
      <c r="L666" s="474"/>
      <c r="M666" s="471"/>
      <c r="N666" s="419"/>
      <c r="O666" s="541"/>
      <c r="P666" s="419"/>
      <c r="Q666" s="419"/>
      <c r="S666" s="414" t="str">
        <f t="shared" si="68"/>
        <v>JANELA DE ALUMÍNIO, TIPO CORRER OU MAXIMAR, CONVENCIONAL, INCLUSIVE ASSENTAMENTO.</v>
      </c>
    </row>
    <row r="667" spans="1:19" s="344" customFormat="1">
      <c r="A667" s="49" t="s">
        <v>922</v>
      </c>
      <c r="B667" s="49">
        <f>'[3]Plan Tron'!B119</f>
        <v>250106</v>
      </c>
      <c r="C667" s="49" t="str">
        <f>'[3]Plan Tron'!C119</f>
        <v>CPOS</v>
      </c>
      <c r="D667" s="63" t="str">
        <f>UPPER('[3]Plan Tron'!D119)</f>
        <v xml:space="preserve">CAIXILHO EM ALUMÍNIO MAXIMAR, SOB MEDIDA </v>
      </c>
      <c r="E667" s="77" t="str">
        <f>'[3]Plan Tron'!E119</f>
        <v>M²</v>
      </c>
      <c r="F667" s="21">
        <v>54</v>
      </c>
      <c r="G667" s="27">
        <v>623.77</v>
      </c>
      <c r="H667" s="27">
        <f>'[3]Plan Tron'!F119</f>
        <v>536.9</v>
      </c>
      <c r="I667" s="9">
        <v>26.44</v>
      </c>
      <c r="J667" s="9">
        <f>ROUND(H667*(I667/100+1),2)</f>
        <v>678.86</v>
      </c>
      <c r="K667" s="383">
        <v>0</v>
      </c>
      <c r="L667" s="474">
        <f>F667-K667</f>
        <v>54</v>
      </c>
      <c r="M667" s="471">
        <f t="shared" si="66"/>
        <v>36658.44</v>
      </c>
      <c r="N667" s="405"/>
      <c r="O667" s="541"/>
      <c r="P667" s="405"/>
      <c r="Q667" s="405"/>
      <c r="S667" s="344" t="str">
        <f t="shared" si="68"/>
        <v xml:space="preserve">CAIXILHO EM ALUMÍNIO MAXIMAR, SOB MEDIDA </v>
      </c>
    </row>
    <row r="668" spans="1:19" s="414" customFormat="1">
      <c r="A668" s="410" t="s">
        <v>921</v>
      </c>
      <c r="B668" s="425"/>
      <c r="C668" s="410"/>
      <c r="D668" s="426" t="s">
        <v>2188</v>
      </c>
      <c r="E668" s="617"/>
      <c r="F668" s="422"/>
      <c r="G668" s="619"/>
      <c r="H668" s="619"/>
      <c r="I668" s="412"/>
      <c r="J668" s="412"/>
      <c r="K668" s="498"/>
      <c r="L668" s="474"/>
      <c r="M668" s="471"/>
      <c r="N668" s="419"/>
      <c r="O668" s="541"/>
      <c r="P668" s="419"/>
      <c r="Q668" s="419"/>
      <c r="S668" s="414" t="str">
        <f t="shared" si="68"/>
        <v>JANELA DE ALUMÍNIO, DE CORRER</v>
      </c>
    </row>
    <row r="669" spans="1:19" s="344" customFormat="1">
      <c r="A669" s="49" t="s">
        <v>920</v>
      </c>
      <c r="B669" s="49">
        <f>'[3]Plan Tron'!B120</f>
        <v>250108</v>
      </c>
      <c r="C669" s="49" t="str">
        <f>'[3]Plan Tron'!C120</f>
        <v>CPOS</v>
      </c>
      <c r="D669" s="63" t="str">
        <f>'[3]Plan Tron'!D120</f>
        <v>Caixilho em alumínio de correr, sob medida</v>
      </c>
      <c r="E669" s="77" t="str">
        <f>'[3]Plan Tron'!E120</f>
        <v>M²</v>
      </c>
      <c r="F669" s="21">
        <v>32.6</v>
      </c>
      <c r="G669" s="27">
        <v>727.09</v>
      </c>
      <c r="H669" s="27">
        <f>'[3]Plan Tron'!F120</f>
        <v>555.67999999999995</v>
      </c>
      <c r="I669" s="9">
        <v>26.44</v>
      </c>
      <c r="J669" s="9">
        <f>ROUND(H669*(I669/100+1),2)</f>
        <v>702.6</v>
      </c>
      <c r="K669" s="383">
        <v>0</v>
      </c>
      <c r="L669" s="474">
        <f>F669-K669</f>
        <v>32.6</v>
      </c>
      <c r="M669" s="471">
        <f t="shared" si="66"/>
        <v>22904.76</v>
      </c>
      <c r="N669" s="405"/>
      <c r="O669" s="541"/>
      <c r="P669" s="405"/>
      <c r="Q669" s="405"/>
      <c r="S669" s="344" t="str">
        <f t="shared" si="68"/>
        <v>CAIXILHO EM ALUMÍNIO DE CORRER, SOB MEDIDA</v>
      </c>
    </row>
    <row r="670" spans="1:19" s="344" customFormat="1">
      <c r="A670" s="49"/>
      <c r="B670" s="17"/>
      <c r="C670" s="49"/>
      <c r="D670" s="17"/>
      <c r="E670" s="7"/>
      <c r="F670" s="10"/>
      <c r="G670" s="9"/>
      <c r="H670" s="9"/>
      <c r="I670" s="9"/>
      <c r="J670" s="9"/>
      <c r="K670" s="17"/>
      <c r="L670" s="474"/>
      <c r="M670" s="471"/>
      <c r="N670" s="405"/>
      <c r="O670" s="541"/>
      <c r="P670" s="405"/>
      <c r="Q670" s="405"/>
    </row>
    <row r="671" spans="1:19" s="344" customFormat="1">
      <c r="A671" s="49"/>
      <c r="B671" s="17"/>
      <c r="C671" s="49"/>
      <c r="D671" s="53" t="s">
        <v>76</v>
      </c>
      <c r="E671" s="7"/>
      <c r="F671" s="10"/>
      <c r="G671" s="27"/>
      <c r="H671" s="27"/>
      <c r="I671" s="9"/>
      <c r="J671" s="9"/>
      <c r="K671" s="383"/>
      <c r="L671" s="474"/>
      <c r="M671" s="471"/>
      <c r="N671" s="405"/>
      <c r="O671" s="541"/>
      <c r="P671" s="405"/>
      <c r="Q671" s="405"/>
      <c r="S671" s="344" t="str">
        <f t="shared" ref="S671:S683" si="69">UPPER(D671)</f>
        <v/>
      </c>
    </row>
    <row r="672" spans="1:19" s="344" customFormat="1">
      <c r="A672" s="45">
        <v>6</v>
      </c>
      <c r="B672" s="17"/>
      <c r="C672" s="45"/>
      <c r="D672" s="53" t="s">
        <v>2189</v>
      </c>
      <c r="E672" s="7"/>
      <c r="F672" s="10"/>
      <c r="G672" s="27"/>
      <c r="H672" s="27"/>
      <c r="I672" s="9"/>
      <c r="J672" s="9"/>
      <c r="K672" s="383"/>
      <c r="L672" s="474"/>
      <c r="M672" s="471"/>
      <c r="N672" s="405"/>
      <c r="O672" s="541"/>
      <c r="P672" s="405"/>
      <c r="Q672" s="405"/>
      <c r="S672" s="344" t="str">
        <f t="shared" si="69"/>
        <v>REVESTIMENTO E TRATAMENTO DE SUPERFÍCIES</v>
      </c>
    </row>
    <row r="673" spans="1:19" s="414" customFormat="1">
      <c r="A673" s="410" t="s">
        <v>120</v>
      </c>
      <c r="B673" s="411"/>
      <c r="C673" s="410"/>
      <c r="D673" s="429" t="s">
        <v>2190</v>
      </c>
      <c r="E673" s="617"/>
      <c r="F673" s="422"/>
      <c r="G673" s="619"/>
      <c r="H673" s="619"/>
      <c r="I673" s="412"/>
      <c r="J673" s="412"/>
      <c r="K673" s="498"/>
      <c r="L673" s="474"/>
      <c r="M673" s="471"/>
      <c r="N673" s="419"/>
      <c r="O673" s="541"/>
      <c r="P673" s="419"/>
      <c r="Q673" s="419"/>
      <c r="S673" s="414" t="str">
        <f t="shared" si="69"/>
        <v>EMBOÇO</v>
      </c>
    </row>
    <row r="674" spans="1:19" s="344" customFormat="1" ht="38.25">
      <c r="A674" s="49" t="s">
        <v>119</v>
      </c>
      <c r="B674" s="49">
        <f>'[3]Plan Tron'!B121</f>
        <v>87527</v>
      </c>
      <c r="C674" s="49" t="str">
        <f>'[3]Plan Tron'!C121</f>
        <v>SINAPI</v>
      </c>
      <c r="D674" s="130" t="str">
        <f>'[3]Plan Tron'!D121</f>
        <v>EMBOÇO, PARA RECEBIMENTO DE CERÂMICA, EM ARGAMASSA TRAÇO 1:2:8, PREPARO MECÂNICO COM BETONEIRA 400L, APLICADO MANUALMENTE EM FACES INTERNAS DE PAREDES, PARA AMBIENTE COM ÁREA MENOR QUE 5M2, ESPESSURA DE 20MM, COM EXECUÇÃO DE TALISCAS. AF_06/2014</v>
      </c>
      <c r="E674" s="77" t="str">
        <f>'[3]Plan Tron'!E121</f>
        <v>M²</v>
      </c>
      <c r="F674" s="21">
        <v>1317.03</v>
      </c>
      <c r="G674" s="27">
        <v>18.93</v>
      </c>
      <c r="H674" s="27">
        <f>'[3]Plan Tron'!F121</f>
        <v>27.13</v>
      </c>
      <c r="I674" s="9">
        <v>26.44</v>
      </c>
      <c r="J674" s="9">
        <f>ROUND(H674*(I674/100+1),2)</f>
        <v>34.299999999999997</v>
      </c>
      <c r="K674" s="383">
        <v>0</v>
      </c>
      <c r="L674" s="474">
        <f>F674-K674</f>
        <v>1317.03</v>
      </c>
      <c r="M674" s="471">
        <f t="shared" si="66"/>
        <v>45174.13</v>
      </c>
      <c r="N674" s="405"/>
      <c r="O674" s="541"/>
      <c r="P674" s="405"/>
      <c r="Q674" s="405"/>
      <c r="S674" s="344" t="str">
        <f t="shared" si="69"/>
        <v>EMBOÇO, PARA RECEBIMENTO DE CERÂMICA, EM ARGAMASSA TRAÇO 1:2:8, PREPARO MECÂNICO COM BETONEIRA 400L, APLICADO MANUALMENTE EM FACES INTERNAS DE PAREDES, PARA AMBIENTE COM ÁREA MENOR QUE 5M2, ESPESSURA DE 20MM, COM EXECUÇÃO DE TALISCAS. AF_06/2014</v>
      </c>
    </row>
    <row r="675" spans="1:19" s="414" customFormat="1">
      <c r="A675" s="410" t="s">
        <v>116</v>
      </c>
      <c r="B675" s="411"/>
      <c r="C675" s="410"/>
      <c r="D675" s="429" t="s">
        <v>2191</v>
      </c>
      <c r="E675" s="617"/>
      <c r="F675" s="422"/>
      <c r="G675" s="619"/>
      <c r="H675" s="619"/>
      <c r="I675" s="412"/>
      <c r="J675" s="412"/>
      <c r="K675" s="498"/>
      <c r="L675" s="474"/>
      <c r="M675" s="471"/>
      <c r="N675" s="419"/>
      <c r="O675" s="541"/>
      <c r="P675" s="419"/>
      <c r="Q675" s="419"/>
      <c r="S675" s="414" t="str">
        <f t="shared" si="69"/>
        <v>REBOCO</v>
      </c>
    </row>
    <row r="676" spans="1:19" s="344" customFormat="1" ht="25.5">
      <c r="A676" s="49" t="s">
        <v>115</v>
      </c>
      <c r="B676" s="49">
        <f>'[3]Plan Tron'!B122</f>
        <v>87784</v>
      </c>
      <c r="C676" s="49" t="str">
        <f>'[3]Plan Tron'!C122</f>
        <v>SINAPI</v>
      </c>
      <c r="D676" s="130" t="str">
        <f>'[3]Plan Tron'!D122</f>
        <v>EMBOÇO OU MASSA ÚNICA EM ARGAMASSA TRAÇO 1:2:8, PREPARO MECÂNICO COM BETONEIRA 400 L, APLICADA MANUALMENTE EM PANOS DE FACHADA COM PRESENÇA DE VÃOS, ESPESSURA DE 45 MM. AF_06/2014</v>
      </c>
      <c r="E676" s="77" t="str">
        <f>'[3]Plan Tron'!E122</f>
        <v>M²</v>
      </c>
      <c r="F676" s="21">
        <v>1317.03</v>
      </c>
      <c r="G676" s="27">
        <v>12.45</v>
      </c>
      <c r="H676" s="27">
        <f>'[3]Plan Tron'!F122</f>
        <v>52.44</v>
      </c>
      <c r="I676" s="9">
        <v>26.44</v>
      </c>
      <c r="J676" s="9">
        <f>ROUND(H676*(I676/100+1),2)</f>
        <v>66.31</v>
      </c>
      <c r="K676" s="383">
        <v>0</v>
      </c>
      <c r="L676" s="474">
        <f>F676-K676</f>
        <v>1317.03</v>
      </c>
      <c r="M676" s="471">
        <f t="shared" si="66"/>
        <v>87332.26</v>
      </c>
      <c r="N676" s="405"/>
      <c r="O676" s="541"/>
      <c r="P676" s="405"/>
      <c r="Q676" s="405"/>
      <c r="S676" s="344" t="str">
        <f t="shared" si="69"/>
        <v>EMBOÇO OU MASSA ÚNICA EM ARGAMASSA TRAÇO 1:2:8, PREPARO MECÂNICO COM BETONEIRA 400 L, APLICADA MANUALMENTE EM PANOS DE FACHADA COM PRESENÇA DE VÃOS, ESPESSURA DE 45 MM. AF_06/2014</v>
      </c>
    </row>
    <row r="677" spans="1:19" s="414" customFormat="1">
      <c r="A677" s="410" t="s">
        <v>113</v>
      </c>
      <c r="B677" s="411"/>
      <c r="C677" s="410"/>
      <c r="D677" s="429" t="s">
        <v>2192</v>
      </c>
      <c r="E677" s="617"/>
      <c r="F677" s="422"/>
      <c r="G677" s="619"/>
      <c r="H677" s="619"/>
      <c r="I677" s="412"/>
      <c r="J677" s="412"/>
      <c r="K677" s="498"/>
      <c r="L677" s="474"/>
      <c r="M677" s="471"/>
      <c r="N677" s="419"/>
      <c r="O677" s="541"/>
      <c r="P677" s="419"/>
      <c r="Q677" s="419"/>
      <c r="S677" s="414" t="str">
        <f t="shared" si="69"/>
        <v>AZULEJO</v>
      </c>
    </row>
    <row r="678" spans="1:19" s="414" customFormat="1">
      <c r="A678" s="410" t="s">
        <v>112</v>
      </c>
      <c r="B678" s="411"/>
      <c r="C678" s="410"/>
      <c r="D678" s="429" t="s">
        <v>2193</v>
      </c>
      <c r="E678" s="617"/>
      <c r="F678" s="422"/>
      <c r="G678" s="619"/>
      <c r="H678" s="619"/>
      <c r="I678" s="412"/>
      <c r="J678" s="412"/>
      <c r="K678" s="498"/>
      <c r="L678" s="474"/>
      <c r="M678" s="471"/>
      <c r="N678" s="419"/>
      <c r="O678" s="541"/>
      <c r="P678" s="419"/>
      <c r="Q678" s="419"/>
      <c r="S678" s="414" t="str">
        <f t="shared" si="69"/>
        <v>AZULEJO BRANCO</v>
      </c>
    </row>
    <row r="679" spans="1:19" s="344" customFormat="1" ht="25.5">
      <c r="A679" s="49" t="s">
        <v>111</v>
      </c>
      <c r="B679" s="49">
        <f>'[3]Plan Tron'!B123</f>
        <v>87266</v>
      </c>
      <c r="C679" s="49" t="str">
        <f>'[3]Plan Tron'!C123</f>
        <v>SINAPI</v>
      </c>
      <c r="D679" s="130" t="str">
        <f>'[3]Plan Tron'!D123</f>
        <v>REVESTIMENTO CERÂMICO PARA PAREDES INTERNAS COM PLACAS TIPO GRÊS OU SEMI-GRÊS DE DIMENSÕES 20X20 CM APLICADAS EM AMBIENTES DE ÁREA MENOR QUE 5 M² A MEIA ALTURA DAS PAREDES. AF_06/2014</v>
      </c>
      <c r="E679" s="77" t="str">
        <f>'[3]Plan Tron'!E123</f>
        <v>M²</v>
      </c>
      <c r="F679" s="21">
        <v>85.44</v>
      </c>
      <c r="G679" s="27">
        <v>32.49</v>
      </c>
      <c r="H679" s="27">
        <f>'[3]Plan Tron'!F123</f>
        <v>53.88</v>
      </c>
      <c r="I679" s="9">
        <v>26.44</v>
      </c>
      <c r="J679" s="9">
        <f>ROUND(H679*(I679/100+1),2)</f>
        <v>68.13</v>
      </c>
      <c r="K679" s="383">
        <v>0</v>
      </c>
      <c r="L679" s="474">
        <f>F679-K679</f>
        <v>85.44</v>
      </c>
      <c r="M679" s="471">
        <f t="shared" si="66"/>
        <v>5821.03</v>
      </c>
      <c r="N679" s="405"/>
      <c r="O679" s="541"/>
      <c r="P679" s="405"/>
      <c r="Q679" s="405"/>
      <c r="S679" s="344" t="str">
        <f t="shared" si="69"/>
        <v>REVESTIMENTO CERÂMICO PARA PAREDES INTERNAS COM PLACAS TIPO GRÊS OU SEMI-GRÊS DE DIMENSÕES 20X20 CM APLICADAS EM AMBIENTES DE ÁREA MENOR QUE 5 M² A MEIA ALTURA DAS PAREDES. AF_06/2014</v>
      </c>
    </row>
    <row r="680" spans="1:19" s="414" customFormat="1">
      <c r="A680" s="410" t="s">
        <v>919</v>
      </c>
      <c r="B680" s="411"/>
      <c r="C680" s="410"/>
      <c r="D680" s="429" t="s">
        <v>2194</v>
      </c>
      <c r="E680" s="617"/>
      <c r="F680" s="422"/>
      <c r="G680" s="619"/>
      <c r="H680" s="619"/>
      <c r="I680" s="412"/>
      <c r="J680" s="412"/>
      <c r="K680" s="498"/>
      <c r="L680" s="474"/>
      <c r="M680" s="471"/>
      <c r="N680" s="419"/>
      <c r="O680" s="541"/>
      <c r="P680" s="419"/>
      <c r="Q680" s="419"/>
      <c r="S680" s="414" t="str">
        <f t="shared" si="69"/>
        <v>ARGAMASSAS</v>
      </c>
    </row>
    <row r="681" spans="1:19" s="344" customFormat="1">
      <c r="A681" s="49" t="s">
        <v>918</v>
      </c>
      <c r="B681" s="49">
        <f>'[3]Plan Tron'!B124</f>
        <v>73548</v>
      </c>
      <c r="C681" s="49" t="str">
        <f>'[3]Plan Tron'!C124</f>
        <v>SINAPI</v>
      </c>
      <c r="D681" s="130" t="str">
        <f>'[3]Plan Tron'!D124</f>
        <v>ARGAMASSA TRACO 1:3 (CIMENTO E AREIA), PREPARO MANUAL, INCLUSO ADITIVO IMPERMEABILIZANTE</v>
      </c>
      <c r="E681" s="77" t="str">
        <f>'[3]Plan Tron'!E124</f>
        <v>M³</v>
      </c>
      <c r="F681" s="21">
        <v>0.03</v>
      </c>
      <c r="G681" s="27">
        <v>379.89</v>
      </c>
      <c r="H681" s="27">
        <f>'[3]Plan Tron'!F124</f>
        <v>485.86</v>
      </c>
      <c r="I681" s="9">
        <v>26.44</v>
      </c>
      <c r="J681" s="9">
        <f>ROUND(H681*(I681/100+1),2)</f>
        <v>614.32000000000005</v>
      </c>
      <c r="K681" s="383">
        <v>0</v>
      </c>
      <c r="L681" s="474">
        <f>F681-K681</f>
        <v>0.03</v>
      </c>
      <c r="M681" s="471">
        <f t="shared" si="66"/>
        <v>18.43</v>
      </c>
      <c r="N681" s="405"/>
      <c r="O681" s="541"/>
      <c r="P681" s="405"/>
      <c r="Q681" s="405"/>
      <c r="S681" s="344" t="str">
        <f t="shared" si="69"/>
        <v>ARGAMASSA TRACO 1:3 (CIMENTO E AREIA), PREPARO MANUAL, INCLUSO ADITIVO IMPERMEABILIZANTE</v>
      </c>
    </row>
    <row r="682" spans="1:19" s="414" customFormat="1">
      <c r="A682" s="410" t="s">
        <v>917</v>
      </c>
      <c r="B682" s="411"/>
      <c r="C682" s="410"/>
      <c r="D682" s="429" t="s">
        <v>2195</v>
      </c>
      <c r="E682" s="617"/>
      <c r="F682" s="422"/>
      <c r="G682" s="619"/>
      <c r="H682" s="619"/>
      <c r="I682" s="412"/>
      <c r="J682" s="412"/>
      <c r="K682" s="498"/>
      <c r="L682" s="474"/>
      <c r="M682" s="471"/>
      <c r="N682" s="419"/>
      <c r="O682" s="541"/>
      <c r="P682" s="419"/>
      <c r="Q682" s="419"/>
      <c r="S682" s="414" t="str">
        <f t="shared" si="69"/>
        <v>CHAPISCO</v>
      </c>
    </row>
    <row r="683" spans="1:19" s="344" customFormat="1" ht="25.5">
      <c r="A683" s="49" t="s">
        <v>916</v>
      </c>
      <c r="B683" s="37">
        <f>'[3]Plan Tron'!B125</f>
        <v>87872</v>
      </c>
      <c r="C683" s="49" t="str">
        <f>'[3]Plan Tron'!C125</f>
        <v>SINAPI</v>
      </c>
      <c r="D683" s="130" t="str">
        <f>'[3]Plan Tron'!D125</f>
        <v>CHAPISCO APLICADO SOMENTE EM ESTRUTURAS DE CONCRETO EM ALVENARIAS INTERNAS, COM DESEMPENADEIRA DENTADA. ARGAMASSA INDUSTRIALIZADA COM PREPARO EM MISTURADOR 300 KG. AF_06/2014</v>
      </c>
      <c r="E683" s="77" t="str">
        <f>'[3]Plan Tron'!E125</f>
        <v>M²</v>
      </c>
      <c r="F683" s="21">
        <v>0.19</v>
      </c>
      <c r="G683" s="9">
        <v>4.51</v>
      </c>
      <c r="H683" s="9">
        <f>'[3]Plan Tron'!F125</f>
        <v>12.73</v>
      </c>
      <c r="I683" s="9">
        <v>26.44</v>
      </c>
      <c r="J683" s="9">
        <f>ROUND(H683*(I683/100+1),2)</f>
        <v>16.100000000000001</v>
      </c>
      <c r="K683" s="383">
        <v>0</v>
      </c>
      <c r="L683" s="474">
        <f>F683-K683</f>
        <v>0.19</v>
      </c>
      <c r="M683" s="471">
        <f t="shared" si="66"/>
        <v>3.06</v>
      </c>
      <c r="N683" s="405"/>
      <c r="O683" s="541"/>
      <c r="P683" s="405"/>
      <c r="Q683" s="405"/>
      <c r="S683" s="344" t="str">
        <f t="shared" si="69"/>
        <v>CHAPISCO APLICADO SOMENTE EM ESTRUTURAS DE CONCRETO EM ALVENARIAS INTERNAS, COM DESEMPENADEIRA DENTADA. ARGAMASSA INDUSTRIALIZADA COM PREPARO EM MISTURADOR 300 KG. AF_06/2014</v>
      </c>
    </row>
    <row r="684" spans="1:19" s="344" customFormat="1">
      <c r="A684" s="49"/>
      <c r="B684" s="17"/>
      <c r="C684" s="49"/>
      <c r="D684" s="17"/>
      <c r="E684" s="7"/>
      <c r="F684" s="10"/>
      <c r="G684" s="9"/>
      <c r="H684" s="9"/>
      <c r="I684" s="9"/>
      <c r="J684" s="9"/>
      <c r="K684" s="17"/>
      <c r="L684" s="474"/>
      <c r="M684" s="471"/>
      <c r="N684" s="405"/>
      <c r="O684" s="541"/>
      <c r="P684" s="405"/>
      <c r="Q684" s="405"/>
    </row>
    <row r="685" spans="1:19" s="344" customFormat="1">
      <c r="A685" s="49"/>
      <c r="B685" s="17"/>
      <c r="C685" s="49"/>
      <c r="D685" s="53" t="s">
        <v>76</v>
      </c>
      <c r="E685" s="7"/>
      <c r="F685" s="10"/>
      <c r="G685" s="27"/>
      <c r="H685" s="27"/>
      <c r="I685" s="9"/>
      <c r="J685" s="9"/>
      <c r="K685" s="383"/>
      <c r="L685" s="474"/>
      <c r="M685" s="471"/>
      <c r="N685" s="405"/>
      <c r="O685" s="541"/>
      <c r="P685" s="405"/>
      <c r="Q685" s="405"/>
      <c r="S685" s="344" t="str">
        <f>UPPER(D685)</f>
        <v/>
      </c>
    </row>
    <row r="686" spans="1:19" s="344" customFormat="1">
      <c r="A686" s="45">
        <v>7</v>
      </c>
      <c r="B686" s="17"/>
      <c r="C686" s="45"/>
      <c r="D686" s="53" t="s">
        <v>2076</v>
      </c>
      <c r="E686" s="7"/>
      <c r="F686" s="10"/>
      <c r="G686" s="27"/>
      <c r="H686" s="27"/>
      <c r="I686" s="9"/>
      <c r="J686" s="9"/>
      <c r="K686" s="383"/>
      <c r="L686" s="474"/>
      <c r="M686" s="471"/>
      <c r="N686" s="405"/>
      <c r="O686" s="541"/>
      <c r="P686" s="405"/>
      <c r="Q686" s="405"/>
      <c r="S686" s="344" t="str">
        <f>UPPER(D686)</f>
        <v>PISOS</v>
      </c>
    </row>
    <row r="687" spans="1:19" s="414" customFormat="1">
      <c r="A687" s="410" t="s">
        <v>109</v>
      </c>
      <c r="B687" s="411"/>
      <c r="C687" s="410"/>
      <c r="D687" s="429" t="s">
        <v>2196</v>
      </c>
      <c r="E687" s="617"/>
      <c r="F687" s="422"/>
      <c r="G687" s="619"/>
      <c r="H687" s="619"/>
      <c r="I687" s="412"/>
      <c r="J687" s="412"/>
      <c r="K687" s="498"/>
      <c r="L687" s="474"/>
      <c r="M687" s="471"/>
      <c r="N687" s="419"/>
      <c r="O687" s="541"/>
      <c r="P687" s="419"/>
      <c r="Q687" s="419"/>
      <c r="S687" s="414" t="str">
        <f>UPPER(D687)</f>
        <v>PISO EM LAJOTA</v>
      </c>
    </row>
    <row r="688" spans="1:19" s="344" customFormat="1">
      <c r="A688" s="49" t="s">
        <v>108</v>
      </c>
      <c r="B688" s="49">
        <f>'[3]Plan Tron'!B126</f>
        <v>540712</v>
      </c>
      <c r="C688" s="49" t="str">
        <f>'[3]Plan Tron'!C126</f>
        <v>CPOS</v>
      </c>
      <c r="D688" s="654" t="str">
        <f>UPPER('[3]Plan Tron'!D126)</f>
        <v>PISO EM LADRILHO HIDRÁULICO VÁRIAS CORES 20 X 20 CM, ASSENTADO COM ARGAMASSA MISTA</v>
      </c>
      <c r="E688" s="77" t="str">
        <f>'[3]Plan Tron'!E126</f>
        <v>M²</v>
      </c>
      <c r="F688" s="21">
        <v>116.39</v>
      </c>
      <c r="G688" s="27">
        <v>63.64</v>
      </c>
      <c r="H688" s="27">
        <f>'[3]Plan Tron'!F126</f>
        <v>98.75</v>
      </c>
      <c r="I688" s="9">
        <v>26.44</v>
      </c>
      <c r="J688" s="9">
        <f>ROUND(H688*(I688/100+1),2)</f>
        <v>124.86</v>
      </c>
      <c r="K688" s="383">
        <v>0</v>
      </c>
      <c r="L688" s="474">
        <f>F688-K688</f>
        <v>116.39</v>
      </c>
      <c r="M688" s="471">
        <f t="shared" si="66"/>
        <v>14532.46</v>
      </c>
      <c r="N688" s="405"/>
      <c r="O688" s="541"/>
      <c r="P688" s="405"/>
      <c r="Q688" s="405"/>
      <c r="S688" s="344" t="str">
        <f>UPPER(D688)</f>
        <v>PISO EM LADRILHO HIDRÁULICO VÁRIAS CORES 20 X 20 CM, ASSENTADO COM ARGAMASSA MISTA</v>
      </c>
    </row>
    <row r="689" spans="1:19" s="344" customFormat="1">
      <c r="A689" s="49"/>
      <c r="B689" s="17"/>
      <c r="C689" s="49"/>
      <c r="D689" s="17"/>
      <c r="E689" s="7"/>
      <c r="F689" s="10"/>
      <c r="G689" s="9"/>
      <c r="H689" s="9"/>
      <c r="I689" s="9"/>
      <c r="J689" s="9"/>
      <c r="K689" s="17"/>
      <c r="L689" s="474"/>
      <c r="M689" s="471"/>
      <c r="N689" s="405"/>
      <c r="O689" s="541"/>
      <c r="P689" s="405"/>
      <c r="Q689" s="405"/>
    </row>
    <row r="690" spans="1:19" s="344" customFormat="1">
      <c r="A690" s="49"/>
      <c r="B690" s="17"/>
      <c r="C690" s="49"/>
      <c r="D690" s="53" t="s">
        <v>76</v>
      </c>
      <c r="E690" s="7"/>
      <c r="F690" s="10"/>
      <c r="G690" s="27"/>
      <c r="H690" s="27"/>
      <c r="I690" s="9"/>
      <c r="J690" s="9"/>
      <c r="K690" s="383"/>
      <c r="L690" s="474"/>
      <c r="M690" s="471"/>
      <c r="N690" s="405"/>
      <c r="O690" s="541"/>
      <c r="P690" s="405"/>
      <c r="Q690" s="405"/>
      <c r="S690" s="344" t="str">
        <f t="shared" ref="S690:S701" si="70">UPPER(D690)</f>
        <v/>
      </c>
    </row>
    <row r="691" spans="1:19" s="344" customFormat="1">
      <c r="A691" s="45">
        <v>8</v>
      </c>
      <c r="B691" s="17"/>
      <c r="C691" s="45"/>
      <c r="D691" s="53" t="s">
        <v>2073</v>
      </c>
      <c r="E691" s="7"/>
      <c r="F691" s="10"/>
      <c r="G691" s="27"/>
      <c r="H691" s="27"/>
      <c r="I691" s="9"/>
      <c r="J691" s="9"/>
      <c r="K691" s="383"/>
      <c r="L691" s="474"/>
      <c r="M691" s="471"/>
      <c r="N691" s="405"/>
      <c r="O691" s="541"/>
      <c r="P691" s="405"/>
      <c r="Q691" s="405"/>
      <c r="S691" s="344" t="str">
        <f t="shared" si="70"/>
        <v>IMPERMEABILIZAÇÕES E PROTEÇÕES DIVERSAS</v>
      </c>
    </row>
    <row r="692" spans="1:19" s="414" customFormat="1">
      <c r="A692" s="650" t="s">
        <v>90</v>
      </c>
      <c r="B692" s="411"/>
      <c r="C692" s="410"/>
      <c r="D692" s="429" t="s">
        <v>2074</v>
      </c>
      <c r="E692" s="617"/>
      <c r="F692" s="422"/>
      <c r="G692" s="619"/>
      <c r="H692" s="619"/>
      <c r="I692" s="412"/>
      <c r="J692" s="412"/>
      <c r="K692" s="498"/>
      <c r="L692" s="474"/>
      <c r="M692" s="471"/>
      <c r="N692" s="419"/>
      <c r="O692" s="541"/>
      <c r="P692" s="419"/>
      <c r="Q692" s="419"/>
      <c r="S692" s="414" t="str">
        <f t="shared" si="70"/>
        <v>IMPERMEABILIZAÇÃO COM CIMENTO CRISTALIZADO</v>
      </c>
    </row>
    <row r="693" spans="1:19" s="414" customFormat="1" ht="25.5">
      <c r="A693" s="650" t="s">
        <v>89</v>
      </c>
      <c r="B693" s="411"/>
      <c r="C693" s="410"/>
      <c r="D693" s="429" t="s">
        <v>2075</v>
      </c>
      <c r="E693" s="617"/>
      <c r="F693" s="422"/>
      <c r="G693" s="619"/>
      <c r="H693" s="619"/>
      <c r="I693" s="412"/>
      <c r="J693" s="412"/>
      <c r="K693" s="498"/>
      <c r="L693" s="474"/>
      <c r="M693" s="471"/>
      <c r="N693" s="419"/>
      <c r="O693" s="541"/>
      <c r="P693" s="419"/>
      <c r="Q693" s="419"/>
      <c r="S693" s="414" t="str">
        <f t="shared" si="70"/>
        <v>CIMENTO ESPECIAL CRISTALIZANTE DENVERLIT C/ EMULSÃO ADESIVA DENVERFIX - DENVER - 1 DEMÃO P/ SUBSOLO / BALDRAMES / GALERIAS / JARDINEIRAS / ETC.</v>
      </c>
    </row>
    <row r="694" spans="1:19" s="344" customFormat="1">
      <c r="A694" s="55" t="s">
        <v>88</v>
      </c>
      <c r="B694" s="49" t="str">
        <f>'[3]Plan Tron'!B33</f>
        <v>73929/001</v>
      </c>
      <c r="C694" s="49" t="str">
        <f>'[3]Plan Tron'!C33</f>
        <v>SINAPI</v>
      </c>
      <c r="D694" s="654" t="str">
        <f>'[3]Plan Tron'!D33</f>
        <v>IMPERMEABILIZACAO DE SUPERFICIE COM CIMENTO ESPECIAL CRISTALIZANTE COM ADESIVO LIQUIDO, UMA DEMAO.</v>
      </c>
      <c r="E694" s="77" t="str">
        <f>'[3]Plan Tron'!E33</f>
        <v>M²</v>
      </c>
      <c r="F694" s="21">
        <v>262.74</v>
      </c>
      <c r="G694" s="9">
        <v>18.329999999999998</v>
      </c>
      <c r="H694" s="9">
        <f>'[3]Plan Tron'!F33</f>
        <v>30.96</v>
      </c>
      <c r="I694" s="9">
        <v>26.44</v>
      </c>
      <c r="J694" s="9">
        <f>ROUND(H694*(I694/100+1),2)</f>
        <v>39.15</v>
      </c>
      <c r="K694" s="474">
        <v>53</v>
      </c>
      <c r="L694" s="474">
        <f>F694-K694</f>
        <v>209.74</v>
      </c>
      <c r="M694" s="471">
        <f t="shared" si="66"/>
        <v>8211.32</v>
      </c>
      <c r="N694" s="405"/>
      <c r="O694" s="541"/>
      <c r="P694" s="405"/>
      <c r="Q694" s="405"/>
      <c r="S694" s="344" t="str">
        <f t="shared" si="70"/>
        <v>IMPERMEABILIZACAO DE SUPERFICIE COM CIMENTO ESPECIAL CRISTALIZANTE COM ADESIVO LIQUIDO, UMA DEMAO.</v>
      </c>
    </row>
    <row r="695" spans="1:19" s="414" customFormat="1">
      <c r="A695" s="650" t="s">
        <v>797</v>
      </c>
      <c r="B695" s="411"/>
      <c r="C695" s="410"/>
      <c r="D695" s="429" t="s">
        <v>2197</v>
      </c>
      <c r="E695" s="617"/>
      <c r="F695" s="422"/>
      <c r="G695" s="412"/>
      <c r="H695" s="412"/>
      <c r="I695" s="412"/>
      <c r="J695" s="412"/>
      <c r="K695" s="498"/>
      <c r="L695" s="474"/>
      <c r="M695" s="471"/>
      <c r="N695" s="419"/>
      <c r="O695" s="541"/>
      <c r="P695" s="419"/>
      <c r="Q695" s="419"/>
      <c r="S695" s="414" t="str">
        <f t="shared" si="70"/>
        <v>IMPERMEABILIZAÇÃO BETUMINOSA C/EMULSÃO ASFÁLTICA E ACRÍLICA</v>
      </c>
    </row>
    <row r="696" spans="1:19" s="344" customFormat="1">
      <c r="A696" s="55" t="s">
        <v>796</v>
      </c>
      <c r="B696" s="49">
        <f>'[3]Plan Tron'!B127</f>
        <v>6225</v>
      </c>
      <c r="C696" s="49" t="str">
        <f>'[3]Plan Tron'!C127</f>
        <v>SINAPI</v>
      </c>
      <c r="D696" s="654" t="str">
        <f>'[3]Plan Tron'!D127</f>
        <v>IMPERMEABILIZACAO DE CALHAS/LAJES DESCOBERTAS, COM EMULSAO ASFALTICA COM ELASTOMEROS, 3 DEMAOS</v>
      </c>
      <c r="E696" s="77" t="str">
        <f>'[3]Plan Tron'!E127</f>
        <v>M²</v>
      </c>
      <c r="F696" s="21">
        <v>49.72</v>
      </c>
      <c r="G696" s="9">
        <v>23.47</v>
      </c>
      <c r="H696" s="9">
        <f>'[3]Plan Tron'!F127</f>
        <v>36.58</v>
      </c>
      <c r="I696" s="9">
        <v>26.44</v>
      </c>
      <c r="J696" s="9">
        <f>ROUND(H696*(I696/100+1),2)</f>
        <v>46.25</v>
      </c>
      <c r="K696" s="383">
        <v>0</v>
      </c>
      <c r="L696" s="474">
        <f>F696-K696</f>
        <v>49.72</v>
      </c>
      <c r="M696" s="471">
        <f t="shared" si="66"/>
        <v>2299.5500000000002</v>
      </c>
      <c r="N696" s="405"/>
      <c r="O696" s="541"/>
      <c r="P696" s="405"/>
      <c r="Q696" s="405"/>
      <c r="S696" s="344" t="str">
        <f t="shared" si="70"/>
        <v>IMPERMEABILIZACAO DE CALHAS/LAJES DESCOBERTAS, COM EMULSAO ASFALTICA COM ELASTOMEROS, 3 DEMAOS</v>
      </c>
    </row>
    <row r="697" spans="1:19" s="414" customFormat="1">
      <c r="A697" s="650" t="s">
        <v>794</v>
      </c>
      <c r="B697" s="411"/>
      <c r="C697" s="410"/>
      <c r="D697" s="429" t="s">
        <v>2198</v>
      </c>
      <c r="E697" s="617"/>
      <c r="F697" s="422"/>
      <c r="G697" s="412"/>
      <c r="H697" s="412"/>
      <c r="I697" s="412"/>
      <c r="J697" s="412"/>
      <c r="K697" s="498"/>
      <c r="L697" s="474"/>
      <c r="M697" s="471"/>
      <c r="N697" s="419"/>
      <c r="O697" s="541"/>
      <c r="P697" s="419"/>
      <c r="Q697" s="419"/>
      <c r="S697" s="414" t="str">
        <f t="shared" si="70"/>
        <v>PROTEÇÃO DE SUPERFÍCIE COM ARGAMASSA</v>
      </c>
    </row>
    <row r="698" spans="1:19" s="344" customFormat="1" ht="25.5">
      <c r="A698" s="55" t="s">
        <v>793</v>
      </c>
      <c r="B698" s="49">
        <f>'[3]Plan Tron'!B128</f>
        <v>83732</v>
      </c>
      <c r="C698" s="49" t="str">
        <f>'[3]Plan Tron'!C128</f>
        <v>SINAPI</v>
      </c>
      <c r="D698" s="130" t="str">
        <f>'[3]Plan Tron'!D128</f>
        <v xml:space="preserve"> IMPERMEABILIZACAO DE SUPERFICIE COM ARGAMASSA DE CIMENTO E AREIA, TRACO 1:3, COM ADITIVO IMPERMEABILIZANTE, E=1,5 CM</v>
      </c>
      <c r="E698" s="77" t="str">
        <f>'[3]Plan Tron'!E128</f>
        <v>M²</v>
      </c>
      <c r="F698" s="21">
        <v>12.65</v>
      </c>
      <c r="G698" s="9">
        <v>17.71</v>
      </c>
      <c r="H698" s="9">
        <f>'[3]Plan Tron'!F128</f>
        <v>31.68</v>
      </c>
      <c r="I698" s="9">
        <v>26.44</v>
      </c>
      <c r="J698" s="9">
        <f>ROUND(H698*(I698/100+1),2)</f>
        <v>40.06</v>
      </c>
      <c r="K698" s="383">
        <v>0</v>
      </c>
      <c r="L698" s="474">
        <f>F698-K698</f>
        <v>12.65</v>
      </c>
      <c r="M698" s="471">
        <f t="shared" si="66"/>
        <v>506.76</v>
      </c>
      <c r="N698" s="405"/>
      <c r="O698" s="541"/>
      <c r="P698" s="405"/>
      <c r="Q698" s="405"/>
      <c r="S698" s="344" t="str">
        <f t="shared" si="70"/>
        <v xml:space="preserve"> IMPERMEABILIZACAO DE SUPERFICIE COM ARGAMASSA DE CIMENTO E AREIA, TRACO 1:3, COM ADITIVO IMPERMEABILIZANTE, E=1,5 CM</v>
      </c>
    </row>
    <row r="699" spans="1:19" s="344" customFormat="1" ht="25.5">
      <c r="A699" s="55" t="s">
        <v>915</v>
      </c>
      <c r="B699" s="49">
        <f>'[3]Plan Tron'!B129</f>
        <v>83733</v>
      </c>
      <c r="C699" s="49" t="str">
        <f>'[3]Plan Tron'!C129</f>
        <v>SINAPI</v>
      </c>
      <c r="D699" s="130" t="str">
        <f>'[3]Plan Tron'!D129</f>
        <v>IMPERMEABILIZACAO DE SUPERFICIE COM ARGAMASSA DE CIMENTO E AREIA (GROSSA), TRACO 1:4, COM ADITIVO IMPERMEABILIZANTE, E=2 CM</v>
      </c>
      <c r="E699" s="77" t="str">
        <f>'[3]Plan Tron'!E129</f>
        <v>M²</v>
      </c>
      <c r="F699" s="21">
        <v>12.65</v>
      </c>
      <c r="G699" s="9">
        <v>17.57</v>
      </c>
      <c r="H699" s="9">
        <f>'[3]Plan Tron'!F129</f>
        <v>36.229999999999997</v>
      </c>
      <c r="I699" s="9">
        <v>26.44</v>
      </c>
      <c r="J699" s="9">
        <f>ROUND(H699*(I699/100+1),2)</f>
        <v>45.81</v>
      </c>
      <c r="K699" s="383">
        <v>0</v>
      </c>
      <c r="L699" s="474">
        <f>F699-K699</f>
        <v>12.65</v>
      </c>
      <c r="M699" s="471">
        <f t="shared" si="66"/>
        <v>579.5</v>
      </c>
      <c r="N699" s="405"/>
      <c r="O699" s="541"/>
      <c r="P699" s="405"/>
      <c r="Q699" s="405"/>
      <c r="S699" s="344" t="str">
        <f t="shared" si="70"/>
        <v>IMPERMEABILIZACAO DE SUPERFICIE COM ARGAMASSA DE CIMENTO E AREIA (GROSSA), TRACO 1:4, COM ADITIVO IMPERMEABILIZANTE, E=2 CM</v>
      </c>
    </row>
    <row r="700" spans="1:19" s="414" customFormat="1">
      <c r="A700" s="650" t="s">
        <v>914</v>
      </c>
      <c r="B700" s="411"/>
      <c r="C700" s="410"/>
      <c r="D700" s="429" t="s">
        <v>2129</v>
      </c>
      <c r="E700" s="617"/>
      <c r="F700" s="422"/>
      <c r="G700" s="412"/>
      <c r="H700" s="412"/>
      <c r="I700" s="412"/>
      <c r="J700" s="412"/>
      <c r="K700" s="498"/>
      <c r="L700" s="474"/>
      <c r="M700" s="471"/>
      <c r="N700" s="419"/>
      <c r="O700" s="541"/>
      <c r="P700" s="419"/>
      <c r="Q700" s="419"/>
      <c r="S700" s="414" t="str">
        <f t="shared" si="70"/>
        <v>IMPERMEABILIZAÇÃO COM MANTA</v>
      </c>
    </row>
    <row r="701" spans="1:19" s="344" customFormat="1">
      <c r="A701" s="55" t="s">
        <v>913</v>
      </c>
      <c r="B701" s="49" t="str">
        <f>'[3]Plan Tron'!B130</f>
        <v xml:space="preserve">74033/001 </v>
      </c>
      <c r="C701" s="49" t="str">
        <f>'[3]Plan Tron'!C130</f>
        <v>SINAPI</v>
      </c>
      <c r="D701" s="130" t="str">
        <f>'[3]Plan Tron'!D130</f>
        <v>IMPERMEABILIZACAO DE SUPERFICIE COM GEOMEMBRANA (MANTA TERMOPLASTICA LISA) TIPO PEAD, E=2MM.</v>
      </c>
      <c r="E701" s="77" t="str">
        <f>'[3]Plan Tron'!E130</f>
        <v>M²</v>
      </c>
      <c r="F701" s="21">
        <v>49.72</v>
      </c>
      <c r="G701" s="9">
        <v>21.77</v>
      </c>
      <c r="H701" s="9">
        <f>'[3]Plan Tron'!F130</f>
        <v>40.130000000000003</v>
      </c>
      <c r="I701" s="9">
        <v>26.44</v>
      </c>
      <c r="J701" s="9">
        <f>ROUND(H701*(I701/100+1),2)</f>
        <v>50.74</v>
      </c>
      <c r="K701" s="383">
        <v>0</v>
      </c>
      <c r="L701" s="474">
        <f>F701-K701</f>
        <v>49.72</v>
      </c>
      <c r="M701" s="471">
        <f t="shared" si="66"/>
        <v>2522.79</v>
      </c>
      <c r="N701" s="405"/>
      <c r="O701" s="541"/>
      <c r="P701" s="405"/>
      <c r="Q701" s="405"/>
      <c r="S701" s="344" t="str">
        <f t="shared" si="70"/>
        <v>IMPERMEABILIZACAO DE SUPERFICIE COM GEOMEMBRANA (MANTA TERMOPLASTICA LISA) TIPO PEAD, E=2MM.</v>
      </c>
    </row>
    <row r="702" spans="1:19" s="344" customFormat="1">
      <c r="A702" s="49"/>
      <c r="B702" s="17"/>
      <c r="C702" s="49"/>
      <c r="D702" s="17"/>
      <c r="E702" s="7"/>
      <c r="F702" s="10"/>
      <c r="G702" s="9"/>
      <c r="H702" s="9"/>
      <c r="I702" s="9"/>
      <c r="J702" s="9"/>
      <c r="K702" s="17"/>
      <c r="L702" s="474"/>
      <c r="M702" s="471"/>
      <c r="N702" s="405"/>
      <c r="O702" s="541"/>
      <c r="P702" s="405"/>
      <c r="Q702" s="405"/>
    </row>
    <row r="703" spans="1:19" s="344" customFormat="1">
      <c r="A703" s="49"/>
      <c r="B703" s="17"/>
      <c r="C703" s="49"/>
      <c r="D703" s="53" t="s">
        <v>76</v>
      </c>
      <c r="E703" s="7"/>
      <c r="F703" s="10"/>
      <c r="G703" s="9"/>
      <c r="H703" s="9"/>
      <c r="I703" s="9"/>
      <c r="J703" s="9"/>
      <c r="K703" s="383"/>
      <c r="L703" s="474"/>
      <c r="M703" s="471"/>
      <c r="N703" s="405"/>
      <c r="O703" s="541"/>
      <c r="P703" s="405"/>
      <c r="Q703" s="405"/>
      <c r="S703" s="344" t="str">
        <f t="shared" ref="S703:S709" si="71">UPPER(D703)</f>
        <v/>
      </c>
    </row>
    <row r="704" spans="1:19" s="344" customFormat="1">
      <c r="A704" s="59">
        <v>9</v>
      </c>
      <c r="B704" s="65"/>
      <c r="C704" s="59"/>
      <c r="D704" s="169" t="s">
        <v>2107</v>
      </c>
      <c r="E704" s="18"/>
      <c r="F704" s="19"/>
      <c r="G704" s="36"/>
      <c r="H704" s="36"/>
      <c r="I704" s="9"/>
      <c r="J704" s="9"/>
      <c r="K704" s="383"/>
      <c r="L704" s="474"/>
      <c r="M704" s="471"/>
      <c r="N704" s="405"/>
      <c r="O704" s="541"/>
      <c r="P704" s="405"/>
      <c r="Q704" s="405"/>
      <c r="S704" s="344" t="str">
        <f t="shared" si="71"/>
        <v>PINTURAS</v>
      </c>
    </row>
    <row r="705" spans="1:19" s="414" customFormat="1">
      <c r="A705" s="650" t="s">
        <v>87</v>
      </c>
      <c r="B705" s="425"/>
      <c r="C705" s="410"/>
      <c r="D705" s="426" t="s">
        <v>2108</v>
      </c>
      <c r="E705" s="421"/>
      <c r="F705" s="623"/>
      <c r="G705" s="623"/>
      <c r="H705" s="623"/>
      <c r="I705" s="412"/>
      <c r="J705" s="412"/>
      <c r="K705" s="498"/>
      <c r="L705" s="474"/>
      <c r="M705" s="471"/>
      <c r="N705" s="419"/>
      <c r="O705" s="541"/>
      <c r="P705" s="419"/>
      <c r="Q705" s="419"/>
      <c r="S705" s="414" t="str">
        <f t="shared" si="71"/>
        <v>PINTURA DE PAREDE</v>
      </c>
    </row>
    <row r="706" spans="1:19" s="414" customFormat="1">
      <c r="A706" s="650" t="s">
        <v>86</v>
      </c>
      <c r="B706" s="611"/>
      <c r="C706" s="410"/>
      <c r="D706" s="426" t="s">
        <v>2199</v>
      </c>
      <c r="E706" s="421"/>
      <c r="F706" s="623"/>
      <c r="G706" s="623"/>
      <c r="H706" s="623"/>
      <c r="I706" s="412"/>
      <c r="J706" s="412"/>
      <c r="K706" s="498"/>
      <c r="L706" s="474"/>
      <c r="M706" s="471"/>
      <c r="N706" s="419"/>
      <c r="O706" s="541"/>
      <c r="P706" s="419"/>
      <c r="Q706" s="419"/>
      <c r="S706" s="414" t="str">
        <f t="shared" si="71"/>
        <v>PINTURA LÁTEX ACRÍLICA EXTERNA / INTERNA S/ SELADOR</v>
      </c>
    </row>
    <row r="707" spans="1:19" s="344" customFormat="1">
      <c r="A707" s="55" t="s">
        <v>85</v>
      </c>
      <c r="B707" s="49" t="str">
        <f>'[3]Plan Tron'!B72</f>
        <v xml:space="preserve">88489 </v>
      </c>
      <c r="C707" s="49" t="str">
        <f>'[3]Plan Tron'!C72</f>
        <v>SINAPI</v>
      </c>
      <c r="D707" s="63" t="str">
        <f>'[3]Plan Tron'!D72</f>
        <v>APLICAÇÃO MANUAL DE PINTURA COM TINTA LÁTEX ACRÍLICA EM PAREDES, DUAS DEMÃOS. AF_06/2014</v>
      </c>
      <c r="E707" s="18" t="str">
        <f>'[3]Plan Tron'!E72</f>
        <v>M²</v>
      </c>
      <c r="F707" s="36">
        <v>1317.03</v>
      </c>
      <c r="G707" s="9">
        <v>8.39</v>
      </c>
      <c r="H707" s="9">
        <f>'[3]Plan Tron'!F72</f>
        <v>9.69</v>
      </c>
      <c r="I707" s="9">
        <v>26.44</v>
      </c>
      <c r="J707" s="9">
        <f>ROUND(H707*(I707/100+1),2)</f>
        <v>12.25</v>
      </c>
      <c r="K707" s="383">
        <v>0</v>
      </c>
      <c r="L707" s="474">
        <f>F707-K707</f>
        <v>1317.03</v>
      </c>
      <c r="M707" s="471">
        <f t="shared" si="66"/>
        <v>16133.62</v>
      </c>
      <c r="N707" s="405"/>
      <c r="O707" s="541"/>
      <c r="P707" s="405"/>
      <c r="Q707" s="405"/>
      <c r="S707" s="344" t="str">
        <f t="shared" si="71"/>
        <v>APLICAÇÃO MANUAL DE PINTURA COM TINTA LÁTEX ACRÍLICA EM PAREDES, DUAS DEMÃOS. AF_06/2014</v>
      </c>
    </row>
    <row r="708" spans="1:19" s="414" customFormat="1">
      <c r="A708" s="650" t="s">
        <v>423</v>
      </c>
      <c r="B708" s="411"/>
      <c r="C708" s="410"/>
      <c r="D708" s="429" t="s">
        <v>2113</v>
      </c>
      <c r="E708" s="617"/>
      <c r="F708" s="422"/>
      <c r="G708" s="619"/>
      <c r="H708" s="619"/>
      <c r="I708" s="412"/>
      <c r="J708" s="412"/>
      <c r="K708" s="498"/>
      <c r="L708" s="474"/>
      <c r="M708" s="471"/>
      <c r="N708" s="419"/>
      <c r="O708" s="541"/>
      <c r="P708" s="419"/>
      <c r="Q708" s="419"/>
      <c r="S708" s="414" t="str">
        <f t="shared" si="71"/>
        <v>PINTURA EM CONCRETO APARENTE</v>
      </c>
    </row>
    <row r="709" spans="1:19" s="344" customFormat="1">
      <c r="A709" s="55" t="s">
        <v>912</v>
      </c>
      <c r="B709" s="49">
        <f>'[3]Plan Tron'!B75</f>
        <v>84678</v>
      </c>
      <c r="C709" s="49" t="str">
        <f>'[3]Plan Tron'!C75</f>
        <v>SINAPI</v>
      </c>
      <c r="D709" s="130" t="str">
        <f>'[3]Plan Tron'!D75</f>
        <v xml:space="preserve">VERNIZ POLIURETANO BRILHANTE EM CONCRETO OU TIJOLO, TRES DEMAOS </v>
      </c>
      <c r="E709" s="77" t="str">
        <f>'[3]Plan Tron'!E75</f>
        <v>M²</v>
      </c>
      <c r="F709" s="21">
        <v>784.86</v>
      </c>
      <c r="G709" s="27">
        <v>11.75</v>
      </c>
      <c r="H709" s="27">
        <f>'[3]Plan Tron'!F75</f>
        <v>16.84</v>
      </c>
      <c r="I709" s="9">
        <v>26.44</v>
      </c>
      <c r="J709" s="9">
        <f>ROUND(H709*(I709/100+1),2)</f>
        <v>21.29</v>
      </c>
      <c r="K709" s="383">
        <v>0</v>
      </c>
      <c r="L709" s="474">
        <f>F709-K709</f>
        <v>784.86</v>
      </c>
      <c r="M709" s="471">
        <f t="shared" si="66"/>
        <v>16709.669999999998</v>
      </c>
      <c r="N709" s="405"/>
      <c r="O709" s="541"/>
      <c r="P709" s="405"/>
      <c r="Q709" s="405"/>
      <c r="S709" s="344" t="str">
        <f t="shared" si="71"/>
        <v xml:space="preserve">VERNIZ POLIURETANO BRILHANTE EM CONCRETO OU TIJOLO, TRES DEMAOS </v>
      </c>
    </row>
    <row r="710" spans="1:19" s="344" customFormat="1">
      <c r="A710" s="49"/>
      <c r="B710" s="17"/>
      <c r="C710" s="49"/>
      <c r="D710" s="65"/>
      <c r="E710" s="7"/>
      <c r="F710" s="10"/>
      <c r="G710" s="9"/>
      <c r="H710" s="9"/>
      <c r="I710" s="9"/>
      <c r="J710" s="9"/>
      <c r="K710" s="65"/>
      <c r="L710" s="474"/>
      <c r="M710" s="471"/>
      <c r="N710" s="405"/>
      <c r="O710" s="541"/>
      <c r="P710" s="405"/>
      <c r="Q710" s="405"/>
    </row>
    <row r="711" spans="1:19" s="344" customFormat="1">
      <c r="A711" s="49"/>
      <c r="B711" s="17"/>
      <c r="C711" s="49"/>
      <c r="D711" s="169" t="s">
        <v>76</v>
      </c>
      <c r="E711" s="7"/>
      <c r="F711" s="10"/>
      <c r="G711" s="9"/>
      <c r="H711" s="9"/>
      <c r="I711" s="9"/>
      <c r="J711" s="9"/>
      <c r="K711" s="383"/>
      <c r="L711" s="474"/>
      <c r="M711" s="471"/>
      <c r="N711" s="405"/>
      <c r="O711" s="541"/>
      <c r="P711" s="405"/>
      <c r="Q711" s="405"/>
      <c r="S711" s="344" t="str">
        <f>UPPER(D711)</f>
        <v/>
      </c>
    </row>
    <row r="712" spans="1:19" s="344" customFormat="1">
      <c r="A712" s="45">
        <v>10</v>
      </c>
      <c r="B712" s="17"/>
      <c r="C712" s="45"/>
      <c r="D712" s="53" t="s">
        <v>2200</v>
      </c>
      <c r="E712" s="7"/>
      <c r="F712" s="10"/>
      <c r="G712" s="27"/>
      <c r="H712" s="27"/>
      <c r="I712" s="9"/>
      <c r="J712" s="9"/>
      <c r="K712" s="383"/>
      <c r="L712" s="474"/>
      <c r="M712" s="471"/>
      <c r="N712" s="405"/>
      <c r="O712" s="541"/>
      <c r="P712" s="405"/>
      <c r="Q712" s="405"/>
      <c r="S712" s="344" t="str">
        <f>UPPER(D712)</f>
        <v>INSTALAÇÕES HIDRÁULICO-SANITÁRIAS</v>
      </c>
    </row>
    <row r="713" spans="1:19" s="414" customFormat="1">
      <c r="A713" s="650" t="s">
        <v>84</v>
      </c>
      <c r="B713" s="425"/>
      <c r="C713" s="410"/>
      <c r="D713" s="426" t="s">
        <v>2201</v>
      </c>
      <c r="E713" s="421"/>
      <c r="F713" s="623"/>
      <c r="G713" s="623"/>
      <c r="H713" s="623"/>
      <c r="I713" s="412"/>
      <c r="J713" s="412"/>
      <c r="K713" s="498"/>
      <c r="L713" s="474"/>
      <c r="M713" s="471"/>
      <c r="N713" s="419"/>
      <c r="O713" s="541"/>
      <c r="P713" s="419"/>
      <c r="Q713" s="419"/>
      <c r="S713" s="414" t="str">
        <f>UPPER(D713)</f>
        <v>APARELHOS SANITÁRIOS, LOUÇAS, METAIS E OUTROS</v>
      </c>
    </row>
    <row r="714" spans="1:19" s="414" customFormat="1">
      <c r="A714" s="650" t="s">
        <v>83</v>
      </c>
      <c r="B714" s="425"/>
      <c r="C714" s="650"/>
      <c r="D714" s="426" t="s">
        <v>2202</v>
      </c>
      <c r="E714" s="421"/>
      <c r="F714" s="422"/>
      <c r="G714" s="423"/>
      <c r="H714" s="423"/>
      <c r="I714" s="412"/>
      <c r="J714" s="412"/>
      <c r="K714" s="498"/>
      <c r="L714" s="474"/>
      <c r="M714" s="471"/>
      <c r="N714" s="419"/>
      <c r="O714" s="541"/>
      <c r="P714" s="419"/>
      <c r="Q714" s="419"/>
      <c r="S714" s="414" t="str">
        <f>UPPER(D714)</f>
        <v>PIA DE COZINHA</v>
      </c>
    </row>
    <row r="715" spans="1:19" s="344" customFormat="1" ht="25.5">
      <c r="A715" s="55" t="s">
        <v>82</v>
      </c>
      <c r="B715" s="347">
        <f>'[3]Plan Tron'!B131</f>
        <v>1748</v>
      </c>
      <c r="C715" s="347" t="str">
        <f>'[3]Plan Tron'!C131</f>
        <v>SINAPI (INSUMO)</v>
      </c>
      <c r="D715" s="63" t="str">
        <f>'[3]Plan Tron'!D131</f>
        <v>BANCA/PIA DE ACO INOXIDAVEL (AISI 430) COM 1 CUBA CENTRAL, COM VALVULA, ESCORREDOR DUPLO, DE *0,55 X 1,40* M</v>
      </c>
      <c r="E715" s="672" t="str">
        <f>'[3]Plan Tron'!E131</f>
        <v>UN.</v>
      </c>
      <c r="F715" s="21">
        <v>5</v>
      </c>
      <c r="G715" s="19">
        <v>142.15</v>
      </c>
      <c r="H715" s="19">
        <f>'[3]Plan Tron'!F131</f>
        <v>217.56</v>
      </c>
      <c r="I715" s="9">
        <v>26.44</v>
      </c>
      <c r="J715" s="9">
        <f>ROUND(H715*(I715/100+1),2)</f>
        <v>275.08</v>
      </c>
      <c r="K715" s="383">
        <v>0</v>
      </c>
      <c r="L715" s="474">
        <f>F715-K715</f>
        <v>5</v>
      </c>
      <c r="M715" s="471">
        <f t="shared" si="66"/>
        <v>1375.4</v>
      </c>
      <c r="N715" s="405"/>
      <c r="O715" s="541"/>
      <c r="P715" s="405"/>
      <c r="Q715" s="405"/>
      <c r="S715" s="344" t="str">
        <f>UPPER(D715)</f>
        <v>BANCA/PIA DE ACO INOXIDAVEL (AISI 430) COM 1 CUBA CENTRAL, COM VALVULA, ESCORREDOR DUPLO, DE *0,55 X 1,40* M</v>
      </c>
    </row>
    <row r="716" spans="1:19">
      <c r="A716" s="49"/>
      <c r="B716" s="17"/>
      <c r="C716" s="49"/>
      <c r="D716" s="17"/>
      <c r="E716" s="7"/>
      <c r="F716" s="10"/>
      <c r="G716" s="9"/>
      <c r="H716" s="9"/>
      <c r="I716" s="9"/>
      <c r="J716" s="9"/>
      <c r="K716" s="17"/>
      <c r="L716" s="474"/>
      <c r="M716" s="471"/>
      <c r="N716" s="405"/>
      <c r="O716" s="541"/>
      <c r="P716" s="405"/>
      <c r="Q716" s="405"/>
    </row>
    <row r="717" spans="1:19">
      <c r="A717" s="49"/>
      <c r="B717" s="17"/>
      <c r="C717" s="49"/>
      <c r="D717" s="53" t="s">
        <v>76</v>
      </c>
      <c r="E717" s="7"/>
      <c r="F717" s="10"/>
      <c r="G717" s="9"/>
      <c r="H717" s="9"/>
      <c r="I717" s="9"/>
      <c r="J717" s="9"/>
      <c r="K717" s="383"/>
      <c r="L717" s="474"/>
      <c r="M717" s="471"/>
      <c r="N717" s="405"/>
      <c r="O717" s="541"/>
      <c r="P717" s="405"/>
      <c r="Q717" s="405"/>
      <c r="S717" s="344" t="str">
        <f>UPPER(D717)</f>
        <v/>
      </c>
    </row>
    <row r="718" spans="1:19">
      <c r="A718" s="59">
        <v>11</v>
      </c>
      <c r="B718" s="65"/>
      <c r="C718" s="59"/>
      <c r="D718" s="169" t="s">
        <v>2203</v>
      </c>
      <c r="E718" s="18"/>
      <c r="F718" s="19"/>
      <c r="G718" s="36"/>
      <c r="H718" s="36"/>
      <c r="I718" s="9"/>
      <c r="J718" s="9"/>
      <c r="K718" s="383"/>
      <c r="L718" s="474"/>
      <c r="M718" s="471"/>
      <c r="N718" s="405"/>
      <c r="O718" s="541"/>
      <c r="P718" s="405"/>
      <c r="Q718" s="405"/>
      <c r="S718" s="344" t="str">
        <f>UPPER(D718)</f>
        <v>MONTAGENS</v>
      </c>
    </row>
    <row r="719" spans="1:19" s="344" customFormat="1" ht="25.5">
      <c r="A719" s="55" t="s">
        <v>81</v>
      </c>
      <c r="B719" s="348" t="s">
        <v>308</v>
      </c>
      <c r="C719" s="55"/>
      <c r="D719" s="130" t="s">
        <v>2204</v>
      </c>
      <c r="E719" s="7" t="s">
        <v>2341</v>
      </c>
      <c r="F719" s="21">
        <v>1</v>
      </c>
      <c r="G719" s="27">
        <v>19743.36</v>
      </c>
      <c r="H719" s="9">
        <f t="shared" ref="H719:H720" si="72">G719*$P$7</f>
        <v>22809.503808000001</v>
      </c>
      <c r="I719" s="9">
        <v>26.44</v>
      </c>
      <c r="J719" s="9">
        <f>ROUND(H719*(I719/100+1),2)</f>
        <v>28840.34</v>
      </c>
      <c r="K719" s="383">
        <v>0</v>
      </c>
      <c r="L719" s="474">
        <f>F719-K719</f>
        <v>1</v>
      </c>
      <c r="M719" s="471">
        <f t="shared" ref="M719:M720" si="73">ROUND(L719*J719,2)</f>
        <v>28840.34</v>
      </c>
      <c r="N719" s="405"/>
      <c r="O719" s="541"/>
      <c r="P719" s="405"/>
      <c r="Q719" s="405"/>
      <c r="S719" s="344" t="str">
        <f>UPPER(D719)</f>
        <v>MONTAGEM HIDRÁULICA E HIDROMECÂNICA DE EQUIPAMENTOS, VÁLVULAS, TUBOS, PEÇAS E ACESSÓRIOS DA LISTA DE MATERIAL DA CASA DE QUÍMICA.</v>
      </c>
    </row>
    <row r="720" spans="1:19" s="344" customFormat="1">
      <c r="A720" s="49" t="s">
        <v>911</v>
      </c>
      <c r="B720" s="349" t="s">
        <v>308</v>
      </c>
      <c r="C720" s="49"/>
      <c r="D720" s="130" t="s">
        <v>2205</v>
      </c>
      <c r="E720" s="7" t="s">
        <v>2341</v>
      </c>
      <c r="F720" s="10">
        <v>1</v>
      </c>
      <c r="G720" s="27">
        <v>355.59</v>
      </c>
      <c r="H720" s="9">
        <f t="shared" si="72"/>
        <v>410.81312699999995</v>
      </c>
      <c r="I720" s="9">
        <v>26.44</v>
      </c>
      <c r="J720" s="9">
        <f>ROUND(H720*(I720/100+1),2)</f>
        <v>519.42999999999995</v>
      </c>
      <c r="K720" s="383">
        <v>0</v>
      </c>
      <c r="L720" s="474">
        <f>F720-K720</f>
        <v>1</v>
      </c>
      <c r="M720" s="471">
        <f t="shared" si="73"/>
        <v>519.42999999999995</v>
      </c>
      <c r="N720" s="405"/>
      <c r="O720" s="541"/>
      <c r="P720" s="405"/>
      <c r="Q720" s="405"/>
      <c r="S720" s="344" t="str">
        <f>UPPER(D720)</f>
        <v>MONTAGEM DAS INSTALAÇÕES HIDRÁULICO SANITÁRIAS DA LISTA DE MATERIAL DA CASA DE QUÍMICA.</v>
      </c>
    </row>
    <row r="721" spans="1:37">
      <c r="A721" s="49"/>
      <c r="B721" s="17"/>
      <c r="C721" s="49"/>
      <c r="D721" s="65"/>
      <c r="E721" s="7"/>
      <c r="F721" s="10"/>
      <c r="G721" s="9"/>
      <c r="H721" s="9"/>
      <c r="I721" s="9"/>
      <c r="J721" s="9"/>
      <c r="K721" s="65"/>
      <c r="L721" s="474"/>
      <c r="M721" s="472"/>
      <c r="N721" s="405"/>
      <c r="O721" s="541"/>
      <c r="P721" s="405"/>
      <c r="Q721" s="405"/>
    </row>
    <row r="722" spans="1:37">
      <c r="A722" s="49"/>
      <c r="B722" s="17"/>
      <c r="C722" s="49"/>
      <c r="D722" s="65"/>
      <c r="E722" s="7"/>
      <c r="F722" s="10"/>
      <c r="G722" s="9"/>
      <c r="H722" s="9"/>
      <c r="I722" s="9"/>
      <c r="J722" s="9"/>
      <c r="K722" s="65"/>
      <c r="L722" s="474"/>
      <c r="M722" s="471"/>
      <c r="N722" s="405"/>
      <c r="O722" s="541"/>
      <c r="P722" s="405"/>
      <c r="Q722" s="405"/>
    </row>
    <row r="723" spans="1:37" s="299" customFormat="1">
      <c r="A723" s="297"/>
      <c r="B723" s="298"/>
      <c r="C723" s="298"/>
      <c r="D723" s="511" t="s">
        <v>2359</v>
      </c>
      <c r="E723" s="297"/>
      <c r="F723" s="298"/>
      <c r="G723" s="301"/>
      <c r="H723" s="338"/>
      <c r="I723" s="298"/>
      <c r="J723" s="298"/>
      <c r="K723" s="511"/>
      <c r="L723" s="508"/>
      <c r="M723" s="505">
        <f>SUM(M585:M721)</f>
        <v>575199.74000000022</v>
      </c>
      <c r="N723" s="405"/>
      <c r="O723" s="541"/>
      <c r="P723" s="405"/>
      <c r="Q723" s="405"/>
      <c r="R723" s="388"/>
      <c r="S723" s="344" t="str">
        <f t="shared" ref="S723:S759" si="74">UPPER(D723)</f>
        <v>TOTAL ITEM 18</v>
      </c>
      <c r="T723" s="388"/>
      <c r="U723" s="388"/>
      <c r="V723" s="388"/>
      <c r="W723" s="388"/>
      <c r="X723" s="388"/>
      <c r="Y723" s="388"/>
      <c r="Z723" s="388"/>
      <c r="AA723" s="388"/>
      <c r="AB723" s="388"/>
      <c r="AC723" s="388"/>
      <c r="AD723" s="388"/>
      <c r="AE723" s="388"/>
      <c r="AF723" s="388"/>
      <c r="AG723" s="388"/>
      <c r="AH723" s="388"/>
      <c r="AI723" s="388"/>
      <c r="AJ723" s="388"/>
      <c r="AK723" s="388"/>
    </row>
    <row r="724" spans="1:37">
      <c r="A724" s="296"/>
      <c r="B724" s="44"/>
      <c r="C724" s="44"/>
      <c r="D724" s="442" t="s">
        <v>76</v>
      </c>
      <c r="E724" s="296" t="s">
        <v>76</v>
      </c>
      <c r="F724" s="44"/>
      <c r="G724" s="302"/>
      <c r="H724" s="339"/>
      <c r="I724" s="44"/>
      <c r="J724" s="44"/>
      <c r="K724" s="383"/>
      <c r="L724" s="474"/>
      <c r="M724" s="471"/>
      <c r="N724" s="405"/>
      <c r="O724" s="541"/>
      <c r="P724" s="405"/>
      <c r="Q724" s="405"/>
      <c r="S724" s="344" t="str">
        <f t="shared" si="74"/>
        <v/>
      </c>
    </row>
    <row r="725" spans="1:37" s="450" customFormat="1">
      <c r="A725" s="445" t="s">
        <v>59</v>
      </c>
      <c r="B725" s="446"/>
      <c r="C725" s="447"/>
      <c r="D725" s="448" t="s">
        <v>1997</v>
      </c>
      <c r="E725" s="453" t="s">
        <v>76</v>
      </c>
      <c r="F725" s="446"/>
      <c r="G725" s="446"/>
      <c r="H725" s="446"/>
      <c r="I725" s="446"/>
      <c r="J725" s="446"/>
      <c r="K725" s="473"/>
      <c r="L725" s="478"/>
      <c r="M725" s="479"/>
      <c r="N725" s="454"/>
      <c r="O725" s="541"/>
      <c r="P725" s="454"/>
      <c r="Q725" s="454"/>
      <c r="S725" s="450" t="str">
        <f t="shared" si="74"/>
        <v>INSTALAÇÕES ELÉTRICAS (CASA DE QUÍMICA E BACIAS DE CONTENÇÃO)</v>
      </c>
    </row>
    <row r="726" spans="1:37">
      <c r="A726" s="45"/>
      <c r="B726" s="57"/>
      <c r="C726" s="45"/>
      <c r="D726" s="53" t="s">
        <v>2206</v>
      </c>
      <c r="E726" s="47" t="s">
        <v>76</v>
      </c>
      <c r="F726" s="48"/>
      <c r="G726" s="312"/>
      <c r="H726" s="9"/>
      <c r="I726" s="9"/>
      <c r="J726" s="9"/>
      <c r="K726" s="383"/>
      <c r="L726" s="474"/>
      <c r="M726" s="471"/>
      <c r="N726" s="405"/>
      <c r="O726" s="541"/>
      <c r="P726" s="405"/>
      <c r="Q726" s="405"/>
      <c r="S726" s="344" t="str">
        <f t="shared" si="74"/>
        <v>MONTAGEM DE MATERIAIS E EQUIPAMENTOS ELÉTRICOS, DE AUTOMAÇÃO E DIVERSOS - CASA DE QUÍMICA</v>
      </c>
    </row>
    <row r="727" spans="1:37">
      <c r="A727" s="45">
        <v>1</v>
      </c>
      <c r="B727" s="57"/>
      <c r="C727" s="45"/>
      <c r="D727" s="53" t="s">
        <v>2207</v>
      </c>
      <c r="E727" s="47" t="s">
        <v>76</v>
      </c>
      <c r="F727" s="48"/>
      <c r="G727" s="9"/>
      <c r="H727" s="9"/>
      <c r="I727" s="9"/>
      <c r="J727" s="9"/>
      <c r="K727" s="383"/>
      <c r="L727" s="474"/>
      <c r="M727" s="471"/>
      <c r="N727" s="405"/>
      <c r="O727" s="541"/>
      <c r="P727" s="405"/>
      <c r="Q727" s="405"/>
      <c r="S727" s="344" t="str">
        <f t="shared" si="74"/>
        <v>MONTAGEM ELÉTRICA - CASA DE QUÍMICA</v>
      </c>
    </row>
    <row r="728" spans="1:37" s="344" customFormat="1">
      <c r="A728" s="49" t="s">
        <v>20</v>
      </c>
      <c r="B728" s="60" t="s">
        <v>1053</v>
      </c>
      <c r="C728" s="49"/>
      <c r="D728" s="130" t="s">
        <v>2208</v>
      </c>
      <c r="E728" s="7" t="s">
        <v>2340</v>
      </c>
      <c r="F728" s="27">
        <v>1</v>
      </c>
      <c r="G728" s="9">
        <v>5085.92</v>
      </c>
      <c r="H728" s="9">
        <f t="shared" ref="H728:H730" si="75">G728*$P$7</f>
        <v>5875.7633759999999</v>
      </c>
      <c r="I728" s="131">
        <v>26.44</v>
      </c>
      <c r="J728" s="131">
        <f>ROUND(H728*(I728/100+1),2)</f>
        <v>7429.32</v>
      </c>
      <c r="K728" s="383">
        <v>0</v>
      </c>
      <c r="L728" s="474">
        <f>F728-K728</f>
        <v>1</v>
      </c>
      <c r="M728" s="471">
        <f t="shared" ref="M728:M759" si="76">ROUND(L728*J728,2)</f>
        <v>7429.32</v>
      </c>
      <c r="N728" s="405"/>
      <c r="O728" s="541"/>
      <c r="P728" s="405"/>
      <c r="Q728" s="405"/>
      <c r="S728" s="344" t="str">
        <f t="shared" si="74"/>
        <v>MONTAGEM DE MATERIAS E EQUIPAMENTOS ELÉTRICOS</v>
      </c>
    </row>
    <row r="729" spans="1:37" s="344" customFormat="1">
      <c r="A729" s="49" t="s">
        <v>19</v>
      </c>
      <c r="B729" s="60" t="s">
        <v>812</v>
      </c>
      <c r="C729" s="49"/>
      <c r="D729" s="130" t="s">
        <v>2209</v>
      </c>
      <c r="E729" s="7" t="s">
        <v>2339</v>
      </c>
      <c r="F729" s="27">
        <v>1</v>
      </c>
      <c r="G729" s="9">
        <v>1816.4</v>
      </c>
      <c r="H729" s="9">
        <f t="shared" si="75"/>
        <v>2098.4869200000003</v>
      </c>
      <c r="I729" s="131">
        <v>26.44</v>
      </c>
      <c r="J729" s="131">
        <f>ROUND(H729*(I729/100+1),2)</f>
        <v>2653.33</v>
      </c>
      <c r="K729" s="383">
        <v>0</v>
      </c>
      <c r="L729" s="474">
        <f>F729-K729</f>
        <v>1</v>
      </c>
      <c r="M729" s="471">
        <f t="shared" si="76"/>
        <v>2653.33</v>
      </c>
      <c r="N729" s="405"/>
      <c r="O729" s="541"/>
      <c r="P729" s="405"/>
      <c r="Q729" s="405"/>
      <c r="S729" s="344" t="str">
        <f t="shared" si="74"/>
        <v>INSTALAÇÃO E COMISSIONAMENTO DE INSTRUMENTOS</v>
      </c>
    </row>
    <row r="730" spans="1:37" s="344" customFormat="1">
      <c r="A730" s="49" t="s">
        <v>18</v>
      </c>
      <c r="B730" s="60" t="s">
        <v>1052</v>
      </c>
      <c r="C730" s="49"/>
      <c r="D730" s="130" t="s">
        <v>2210</v>
      </c>
      <c r="E730" s="7" t="s">
        <v>2340</v>
      </c>
      <c r="F730" s="27">
        <v>1</v>
      </c>
      <c r="G730" s="9">
        <v>309.27999999999997</v>
      </c>
      <c r="H730" s="9">
        <f t="shared" si="75"/>
        <v>357.31118399999997</v>
      </c>
      <c r="I730" s="131">
        <v>26.44</v>
      </c>
      <c r="J730" s="131">
        <f>ROUND(H730*(I730/100+1),2)</f>
        <v>451.78</v>
      </c>
      <c r="K730" s="383">
        <v>0</v>
      </c>
      <c r="L730" s="474">
        <f>F730-K730</f>
        <v>1</v>
      </c>
      <c r="M730" s="471">
        <f t="shared" si="76"/>
        <v>451.78</v>
      </c>
      <c r="N730" s="405"/>
      <c r="O730" s="541"/>
      <c r="P730" s="405"/>
      <c r="Q730" s="405"/>
      <c r="S730" s="344" t="str">
        <f t="shared" si="74"/>
        <v>MONTAGEM DO QUADRO DE FORÇA DAS BOMBAS DOSADORAS (QF-DOS)</v>
      </c>
    </row>
    <row r="731" spans="1:37" s="414" customFormat="1">
      <c r="A731" s="410" t="s">
        <v>17</v>
      </c>
      <c r="B731" s="641"/>
      <c r="C731" s="410"/>
      <c r="D731" s="429" t="s">
        <v>2090</v>
      </c>
      <c r="E731" s="617" t="s">
        <v>76</v>
      </c>
      <c r="F731" s="619"/>
      <c r="G731" s="412"/>
      <c r="H731" s="412"/>
      <c r="I731" s="642"/>
      <c r="J731" s="642"/>
      <c r="K731" s="498"/>
      <c r="L731" s="474"/>
      <c r="M731" s="471"/>
      <c r="N731" s="419"/>
      <c r="O731" s="541"/>
      <c r="P731" s="419"/>
      <c r="Q731" s="419"/>
      <c r="S731" s="414" t="str">
        <f t="shared" si="74"/>
        <v>FIOS E CABOS</v>
      </c>
    </row>
    <row r="732" spans="1:37" s="344" customFormat="1">
      <c r="A732" s="49" t="s">
        <v>195</v>
      </c>
      <c r="B732" s="50">
        <f>'[3]Plan Tron'!B132</f>
        <v>390216</v>
      </c>
      <c r="C732" s="49" t="str">
        <f>'[3]Plan Tron'!C132</f>
        <v>CPOS</v>
      </c>
      <c r="D732" s="81" t="str">
        <f>UPPER('[3]Plan Tron'!D132)</f>
        <v>CABO DE COBRE DE 2,5 MM², ISOLAMENTO 750 V - ISOLAÇÃO EM PVC 70°C COR AZUL</v>
      </c>
      <c r="E732" s="77" t="str">
        <f>'[3]Plan Tron'!E132</f>
        <v>M</v>
      </c>
      <c r="F732" s="21">
        <v>400</v>
      </c>
      <c r="G732" s="9">
        <v>2.2799999999999998</v>
      </c>
      <c r="H732" s="9">
        <f>'[3]Plan Tron'!F132</f>
        <v>2.25</v>
      </c>
      <c r="I732" s="131">
        <v>26.44</v>
      </c>
      <c r="J732" s="131">
        <f>ROUND(H732*(I732/100+1),2)</f>
        <v>2.84</v>
      </c>
      <c r="K732" s="383">
        <v>0</v>
      </c>
      <c r="L732" s="474">
        <f t="shared" ref="L732:L743" si="77">F732-K732</f>
        <v>400</v>
      </c>
      <c r="M732" s="471">
        <f t="shared" si="76"/>
        <v>1136</v>
      </c>
      <c r="N732" s="405"/>
      <c r="O732" s="541"/>
      <c r="P732" s="405"/>
      <c r="Q732" s="405"/>
      <c r="S732" s="344" t="str">
        <f t="shared" si="74"/>
        <v>CABO DE COBRE DE 2,5 MM², ISOLAMENTO 750 V - ISOLAÇÃO EM PVC 70°C COR AZUL</v>
      </c>
    </row>
    <row r="733" spans="1:37" s="344" customFormat="1">
      <c r="A733" s="49" t="s">
        <v>192</v>
      </c>
      <c r="B733" s="50">
        <f>'[3]Plan Tron'!B133</f>
        <v>390216</v>
      </c>
      <c r="C733" s="49" t="str">
        <f>'[3]Plan Tron'!C133</f>
        <v>CPOS</v>
      </c>
      <c r="D733" s="81" t="str">
        <f>UPPER('[3]Plan Tron'!D133)</f>
        <v>CABO DE COBRE DE 2,5 MM², ISOLAMENTO 750 V - ISOLAÇÃO EM PVC 70°C COR PRETO</v>
      </c>
      <c r="E733" s="77" t="str">
        <f>'[3]Plan Tron'!E133</f>
        <v>M</v>
      </c>
      <c r="F733" s="21">
        <v>400</v>
      </c>
      <c r="G733" s="9">
        <f>G732</f>
        <v>2.2799999999999998</v>
      </c>
      <c r="H733" s="9">
        <f>'[3]Plan Tron'!F133</f>
        <v>2.25</v>
      </c>
      <c r="I733" s="131">
        <v>26.44</v>
      </c>
      <c r="J733" s="131">
        <f t="shared" ref="J733:J743" si="78">ROUND(H733*(I733/100+1),2)</f>
        <v>2.84</v>
      </c>
      <c r="K733" s="383">
        <v>0</v>
      </c>
      <c r="L733" s="474">
        <f t="shared" si="77"/>
        <v>400</v>
      </c>
      <c r="M733" s="471">
        <f t="shared" si="76"/>
        <v>1136</v>
      </c>
      <c r="N733" s="405"/>
      <c r="O733" s="541"/>
      <c r="P733" s="405"/>
      <c r="Q733" s="405"/>
      <c r="S733" s="344" t="str">
        <f t="shared" si="74"/>
        <v>CABO DE COBRE DE 2,5 MM², ISOLAMENTO 750 V - ISOLAÇÃO EM PVC 70°C COR PRETO</v>
      </c>
    </row>
    <row r="734" spans="1:37" s="344" customFormat="1">
      <c r="A734" s="49" t="s">
        <v>280</v>
      </c>
      <c r="B734" s="50">
        <f>'[3]Plan Tron'!B134</f>
        <v>390216</v>
      </c>
      <c r="C734" s="49" t="str">
        <f>'[3]Plan Tron'!C134</f>
        <v>CPOS</v>
      </c>
      <c r="D734" s="81" t="str">
        <f>UPPER('[3]Plan Tron'!D134)</f>
        <v>CABO DE COBRE DE 2,5 MM², ISOLAMENTO 750 V - ISOLAÇÃO EM PVC 70°C COR VERDE</v>
      </c>
      <c r="E734" s="77" t="str">
        <f>'[3]Plan Tron'!E134</f>
        <v>M</v>
      </c>
      <c r="F734" s="21">
        <v>400</v>
      </c>
      <c r="G734" s="9">
        <f>G732</f>
        <v>2.2799999999999998</v>
      </c>
      <c r="H734" s="9">
        <f>'[3]Plan Tron'!F134</f>
        <v>2.25</v>
      </c>
      <c r="I734" s="131">
        <v>26.44</v>
      </c>
      <c r="J734" s="131">
        <f t="shared" si="78"/>
        <v>2.84</v>
      </c>
      <c r="K734" s="383">
        <v>0</v>
      </c>
      <c r="L734" s="474">
        <f t="shared" si="77"/>
        <v>400</v>
      </c>
      <c r="M734" s="471">
        <f t="shared" si="76"/>
        <v>1136</v>
      </c>
      <c r="N734" s="405"/>
      <c r="O734" s="541"/>
      <c r="P734" s="405"/>
      <c r="Q734" s="405"/>
      <c r="S734" s="344" t="str">
        <f t="shared" si="74"/>
        <v>CABO DE COBRE DE 2,5 MM², ISOLAMENTO 750 V - ISOLAÇÃO EM PVC 70°C COR VERDE</v>
      </c>
    </row>
    <row r="735" spans="1:37" s="344" customFormat="1">
      <c r="A735" s="49" t="s">
        <v>277</v>
      </c>
      <c r="B735" s="50">
        <f>'[3]Plan Tron'!B135</f>
        <v>390201</v>
      </c>
      <c r="C735" s="49" t="str">
        <f>'[3]Plan Tron'!C135</f>
        <v>CPOS</v>
      </c>
      <c r="D735" s="81" t="str">
        <f>UPPER('[3]Plan Tron'!D135)</f>
        <v>CABO DE COBRE DE 1,5 MM², ISOLAMENTO 750 V - ISOLAÇÃO EM PVC 70°C  COR BRANCO</v>
      </c>
      <c r="E735" s="77" t="str">
        <f>'[3]Plan Tron'!E135</f>
        <v>M</v>
      </c>
      <c r="F735" s="21">
        <v>300</v>
      </c>
      <c r="G735" s="9">
        <v>1.73</v>
      </c>
      <c r="H735" s="9">
        <f>'[3]Plan Tron'!F135</f>
        <v>1.62</v>
      </c>
      <c r="I735" s="131">
        <v>26.44</v>
      </c>
      <c r="J735" s="131">
        <f t="shared" si="78"/>
        <v>2.0499999999999998</v>
      </c>
      <c r="K735" s="383">
        <v>0</v>
      </c>
      <c r="L735" s="474">
        <f t="shared" si="77"/>
        <v>300</v>
      </c>
      <c r="M735" s="471">
        <f t="shared" si="76"/>
        <v>615</v>
      </c>
      <c r="N735" s="405"/>
      <c r="O735" s="541"/>
      <c r="P735" s="405"/>
      <c r="Q735" s="405"/>
      <c r="S735" s="344" t="str">
        <f t="shared" si="74"/>
        <v>CABO DE COBRE DE 1,5 MM², ISOLAMENTO 750 V - ISOLAÇÃO EM PVC 70°C  COR BRANCO</v>
      </c>
    </row>
    <row r="736" spans="1:37" s="344" customFormat="1">
      <c r="A736" s="49" t="s">
        <v>275</v>
      </c>
      <c r="B736" s="50">
        <f>'[3]Plan Tron'!B136</f>
        <v>390201</v>
      </c>
      <c r="C736" s="49" t="str">
        <f>'[3]Plan Tron'!C136</f>
        <v>CPOS</v>
      </c>
      <c r="D736" s="81" t="str">
        <f>UPPER('[3]Plan Tron'!D136)</f>
        <v>CABO DE COBRE DE 1,5 MM², ISOLAMENTO 750 V - ISOLAÇÃO EM PVC 70°C  COR AMARELO</v>
      </c>
      <c r="E736" s="77" t="str">
        <f>'[3]Plan Tron'!E136</f>
        <v>M</v>
      </c>
      <c r="F736" s="21">
        <v>300</v>
      </c>
      <c r="G736" s="9">
        <f>G735</f>
        <v>1.73</v>
      </c>
      <c r="H736" s="9">
        <f>'[3]Plan Tron'!F136</f>
        <v>1.62</v>
      </c>
      <c r="I736" s="131">
        <v>26.44</v>
      </c>
      <c r="J736" s="131">
        <f t="shared" si="78"/>
        <v>2.0499999999999998</v>
      </c>
      <c r="K736" s="383">
        <v>0</v>
      </c>
      <c r="L736" s="474">
        <f t="shared" si="77"/>
        <v>300</v>
      </c>
      <c r="M736" s="471">
        <f t="shared" si="76"/>
        <v>615</v>
      </c>
      <c r="N736" s="405"/>
      <c r="O736" s="541"/>
      <c r="P736" s="405"/>
      <c r="Q736" s="405"/>
      <c r="S736" s="344" t="str">
        <f t="shared" si="74"/>
        <v>CABO DE COBRE DE 1,5 MM², ISOLAMENTO 750 V - ISOLAÇÃO EM PVC 70°C  COR AMARELO</v>
      </c>
    </row>
    <row r="737" spans="1:19" s="344" customFormat="1">
      <c r="A737" s="49" t="s">
        <v>274</v>
      </c>
      <c r="B737" s="50">
        <f>'[3]Plan Tron'!B137</f>
        <v>390201</v>
      </c>
      <c r="C737" s="49" t="str">
        <f>'[3]Plan Tron'!C137</f>
        <v>CPOS</v>
      </c>
      <c r="D737" s="81" t="str">
        <f>UPPER('[3]Plan Tron'!D137)</f>
        <v>CABO DE COBRE DE 1,5 MM², ISOLAMENTO 750 V - ISOLAÇÃO EM PVC 70°C  COR AZUL</v>
      </c>
      <c r="E737" s="77" t="str">
        <f>'[3]Plan Tron'!E137</f>
        <v>M</v>
      </c>
      <c r="F737" s="21">
        <v>400</v>
      </c>
      <c r="G737" s="9">
        <f>G735</f>
        <v>1.73</v>
      </c>
      <c r="H737" s="9">
        <f>'[3]Plan Tron'!F137</f>
        <v>1.62</v>
      </c>
      <c r="I737" s="131">
        <v>26.44</v>
      </c>
      <c r="J737" s="131">
        <f t="shared" si="78"/>
        <v>2.0499999999999998</v>
      </c>
      <c r="K737" s="383">
        <v>0</v>
      </c>
      <c r="L737" s="474">
        <f t="shared" si="77"/>
        <v>400</v>
      </c>
      <c r="M737" s="471">
        <f t="shared" si="76"/>
        <v>820</v>
      </c>
      <c r="N737" s="405"/>
      <c r="O737" s="541"/>
      <c r="P737" s="405"/>
      <c r="Q737" s="405"/>
      <c r="S737" s="344" t="str">
        <f t="shared" si="74"/>
        <v>CABO DE COBRE DE 1,5 MM², ISOLAMENTO 750 V - ISOLAÇÃO EM PVC 70°C  COR AZUL</v>
      </c>
    </row>
    <row r="738" spans="1:19" s="344" customFormat="1">
      <c r="A738" s="49" t="s">
        <v>272</v>
      </c>
      <c r="B738" s="50">
        <f>'[3]Plan Tron'!B138</f>
        <v>390201</v>
      </c>
      <c r="C738" s="49" t="str">
        <f>'[3]Plan Tron'!C138</f>
        <v>CPOS</v>
      </c>
      <c r="D738" s="81" t="str">
        <f>UPPER('[3]Plan Tron'!D138)</f>
        <v>CABO DE COBRE DE 1,5 MM², ISOLAMENTO 750 V - ISOLAÇÃO EM PVC 70°C  COR VERDE</v>
      </c>
      <c r="E738" s="77" t="str">
        <f>'[3]Plan Tron'!E138</f>
        <v>M</v>
      </c>
      <c r="F738" s="21">
        <v>200</v>
      </c>
      <c r="G738" s="9">
        <f>G735</f>
        <v>1.73</v>
      </c>
      <c r="H738" s="9">
        <f>'[3]Plan Tron'!F138</f>
        <v>1.62</v>
      </c>
      <c r="I738" s="131">
        <v>26.44</v>
      </c>
      <c r="J738" s="131">
        <f t="shared" si="78"/>
        <v>2.0499999999999998</v>
      </c>
      <c r="K738" s="383">
        <v>0</v>
      </c>
      <c r="L738" s="474">
        <f t="shared" si="77"/>
        <v>200</v>
      </c>
      <c r="M738" s="471">
        <f t="shared" si="76"/>
        <v>410</v>
      </c>
      <c r="N738" s="405"/>
      <c r="O738" s="541"/>
      <c r="P738" s="405"/>
      <c r="Q738" s="405"/>
      <c r="S738" s="344" t="str">
        <f t="shared" si="74"/>
        <v>CABO DE COBRE DE 1,5 MM², ISOLAMENTO 750 V - ISOLAÇÃO EM PVC 70°C  COR VERDE</v>
      </c>
    </row>
    <row r="739" spans="1:19" s="344" customFormat="1">
      <c r="A739" s="49" t="s">
        <v>271</v>
      </c>
      <c r="B739" s="50">
        <f>B733</f>
        <v>390216</v>
      </c>
      <c r="C739" s="49" t="str">
        <f>C733</f>
        <v>CPOS</v>
      </c>
      <c r="D739" s="81" t="str">
        <f>D733</f>
        <v>CABO DE COBRE DE 2,5 MM², ISOLAMENTO 750 V - ISOLAÇÃO EM PVC 70°C COR PRETO</v>
      </c>
      <c r="E739" s="672" t="str">
        <f>E733</f>
        <v>M</v>
      </c>
      <c r="F739" s="51">
        <v>200</v>
      </c>
      <c r="G739" s="9">
        <f>G732</f>
        <v>2.2799999999999998</v>
      </c>
      <c r="H739" s="9">
        <f>H733</f>
        <v>2.25</v>
      </c>
      <c r="I739" s="131">
        <v>26.44</v>
      </c>
      <c r="J739" s="131">
        <f t="shared" si="78"/>
        <v>2.84</v>
      </c>
      <c r="K739" s="383">
        <v>0</v>
      </c>
      <c r="L739" s="474">
        <f t="shared" si="77"/>
        <v>200</v>
      </c>
      <c r="M739" s="471">
        <f t="shared" si="76"/>
        <v>568</v>
      </c>
      <c r="N739" s="405"/>
      <c r="O739" s="541"/>
      <c r="P739" s="405"/>
      <c r="Q739" s="405"/>
      <c r="S739" s="344" t="str">
        <f t="shared" si="74"/>
        <v>CABO DE COBRE DE 2,5 MM², ISOLAMENTO 750 V - ISOLAÇÃO EM PVC 70°C COR PRETO</v>
      </c>
    </row>
    <row r="740" spans="1:19" s="344" customFormat="1">
      <c r="A740" s="49" t="s">
        <v>896</v>
      </c>
      <c r="B740" s="50">
        <f>B732</f>
        <v>390216</v>
      </c>
      <c r="C740" s="49" t="str">
        <f>C732</f>
        <v>CPOS</v>
      </c>
      <c r="D740" s="81" t="str">
        <f>D732</f>
        <v>CABO DE COBRE DE 2,5 MM², ISOLAMENTO 750 V - ISOLAÇÃO EM PVC 70°C COR AZUL</v>
      </c>
      <c r="E740" s="672" t="str">
        <f>E732</f>
        <v>M</v>
      </c>
      <c r="F740" s="51">
        <v>200</v>
      </c>
      <c r="G740" s="9">
        <f>G732</f>
        <v>2.2799999999999998</v>
      </c>
      <c r="H740" s="9">
        <f>H732</f>
        <v>2.25</v>
      </c>
      <c r="I740" s="131">
        <v>26.44</v>
      </c>
      <c r="J740" s="131">
        <f t="shared" si="78"/>
        <v>2.84</v>
      </c>
      <c r="K740" s="383">
        <v>0</v>
      </c>
      <c r="L740" s="474">
        <f t="shared" si="77"/>
        <v>200</v>
      </c>
      <c r="M740" s="471">
        <f t="shared" si="76"/>
        <v>568</v>
      </c>
      <c r="N740" s="405"/>
      <c r="O740" s="541"/>
      <c r="P740" s="405"/>
      <c r="Q740" s="405"/>
      <c r="S740" s="344" t="str">
        <f t="shared" si="74"/>
        <v>CABO DE COBRE DE 2,5 MM², ISOLAMENTO 750 V - ISOLAÇÃO EM PVC 70°C COR AZUL</v>
      </c>
    </row>
    <row r="741" spans="1:19" s="344" customFormat="1">
      <c r="A741" s="49" t="s">
        <v>1051</v>
      </c>
      <c r="B741" s="50">
        <f>'[3]Plan Tron'!B142</f>
        <v>390203</v>
      </c>
      <c r="C741" s="49" t="str">
        <f>'[3]Plan Tron'!C142</f>
        <v>CPOS</v>
      </c>
      <c r="D741" s="81" t="str">
        <f>UPPER('[3]Plan Tron'!D142)</f>
        <v>CABO DE COBRE DE 6 MM², ISOLAMENTO 750 V - ISOLAÇÃO EM PVC 70°C  COR VERDE</v>
      </c>
      <c r="E741" s="672" t="str">
        <f>'[3]Plan Tron'!E142</f>
        <v>M</v>
      </c>
      <c r="F741" s="51">
        <v>100</v>
      </c>
      <c r="G741" s="9">
        <v>4.51</v>
      </c>
      <c r="H741" s="9">
        <f>'[3]Plan Tron'!F142</f>
        <v>3.78</v>
      </c>
      <c r="I741" s="131">
        <v>26.44</v>
      </c>
      <c r="J741" s="131">
        <f t="shared" si="78"/>
        <v>4.78</v>
      </c>
      <c r="K741" s="383">
        <v>0</v>
      </c>
      <c r="L741" s="474">
        <f t="shared" si="77"/>
        <v>100</v>
      </c>
      <c r="M741" s="471">
        <f t="shared" si="76"/>
        <v>478</v>
      </c>
      <c r="N741" s="405"/>
      <c r="O741" s="541"/>
      <c r="P741" s="405"/>
      <c r="Q741" s="405"/>
      <c r="S741" s="344" t="str">
        <f t="shared" si="74"/>
        <v>CABO DE COBRE DE 6 MM², ISOLAMENTO 750 V - ISOLAÇÃO EM PVC 70°C  COR VERDE</v>
      </c>
    </row>
    <row r="742" spans="1:19" s="344" customFormat="1">
      <c r="A742" s="49" t="s">
        <v>1050</v>
      </c>
      <c r="B742" s="50">
        <f>'[3]Plan Tron'!B143</f>
        <v>390203</v>
      </c>
      <c r="C742" s="49" t="str">
        <f>'[3]Plan Tron'!C143</f>
        <v>CPOS</v>
      </c>
      <c r="D742" s="81" t="str">
        <f>UPPER('[3]Plan Tron'!D143)</f>
        <v>CABO DE COBRE DE 6 MM², ISOLAMENTO 750 V - ISOLAÇÃO EM PVC 70°C  COR AZUL</v>
      </c>
      <c r="E742" s="672" t="str">
        <f>'[3]Plan Tron'!E143</f>
        <v>M</v>
      </c>
      <c r="F742" s="51">
        <v>100</v>
      </c>
      <c r="G742" s="9">
        <f>G741</f>
        <v>4.51</v>
      </c>
      <c r="H742" s="9">
        <f>'[3]Plan Tron'!F143</f>
        <v>3.78</v>
      </c>
      <c r="I742" s="131">
        <v>26.44</v>
      </c>
      <c r="J742" s="131">
        <f t="shared" si="78"/>
        <v>4.78</v>
      </c>
      <c r="K742" s="383">
        <v>0</v>
      </c>
      <c r="L742" s="474">
        <f t="shared" si="77"/>
        <v>100</v>
      </c>
      <c r="M742" s="471">
        <f t="shared" si="76"/>
        <v>478</v>
      </c>
      <c r="N742" s="405"/>
      <c r="O742" s="541"/>
      <c r="P742" s="405"/>
      <c r="Q742" s="405"/>
      <c r="S742" s="344" t="str">
        <f t="shared" si="74"/>
        <v>CABO DE COBRE DE 6 MM², ISOLAMENTO 750 V - ISOLAÇÃO EM PVC 70°C  COR AZUL</v>
      </c>
    </row>
    <row r="743" spans="1:19" s="344" customFormat="1">
      <c r="A743" s="49" t="s">
        <v>1049</v>
      </c>
      <c r="B743" s="50">
        <f>'[3]Plan Tron'!B144</f>
        <v>390203</v>
      </c>
      <c r="C743" s="49" t="str">
        <f>'[3]Plan Tron'!C144</f>
        <v>CPOS</v>
      </c>
      <c r="D743" s="81" t="str">
        <f>UPPER('[3]Plan Tron'!D144)</f>
        <v>CABO DE COBRE DE 6 MM², ISOLAMENTO 750 V - ISOLAÇÃO EM PVC 70°C  COR PRETO</v>
      </c>
      <c r="E743" s="672" t="str">
        <f>'[3]Plan Tron'!E144</f>
        <v>M</v>
      </c>
      <c r="F743" s="51">
        <v>100</v>
      </c>
      <c r="G743" s="9">
        <f>G741</f>
        <v>4.51</v>
      </c>
      <c r="H743" s="9">
        <f>'[3]Plan Tron'!F144</f>
        <v>3.78</v>
      </c>
      <c r="I743" s="131">
        <v>26.44</v>
      </c>
      <c r="J743" s="131">
        <f t="shared" si="78"/>
        <v>4.78</v>
      </c>
      <c r="K743" s="383">
        <v>0</v>
      </c>
      <c r="L743" s="474">
        <f t="shared" si="77"/>
        <v>100</v>
      </c>
      <c r="M743" s="471">
        <f t="shared" si="76"/>
        <v>478</v>
      </c>
      <c r="N743" s="405"/>
      <c r="O743" s="541"/>
      <c r="P743" s="405"/>
      <c r="Q743" s="405"/>
      <c r="S743" s="344" t="str">
        <f t="shared" si="74"/>
        <v>CABO DE COBRE DE 6 MM², ISOLAMENTO 750 V - ISOLAÇÃO EM PVC 70°C  COR PRETO</v>
      </c>
    </row>
    <row r="744" spans="1:19" s="414" customFormat="1">
      <c r="A744" s="410" t="s">
        <v>16</v>
      </c>
      <c r="B744" s="428"/>
      <c r="C744" s="410"/>
      <c r="D744" s="429" t="s">
        <v>2091</v>
      </c>
      <c r="E744" s="617"/>
      <c r="F744" s="619"/>
      <c r="G744" s="412"/>
      <c r="H744" s="412"/>
      <c r="I744" s="642"/>
      <c r="J744" s="642"/>
      <c r="K744" s="498"/>
      <c r="L744" s="474"/>
      <c r="M744" s="471"/>
      <c r="N744" s="419"/>
      <c r="O744" s="541"/>
      <c r="P744" s="419"/>
      <c r="Q744" s="419"/>
      <c r="S744" s="414" t="str">
        <f t="shared" si="74"/>
        <v>ELETRODUTOS E AFINS</v>
      </c>
    </row>
    <row r="745" spans="1:19" s="344" customFormat="1">
      <c r="A745" s="49" t="s">
        <v>270</v>
      </c>
      <c r="B745" s="49" t="str">
        <f>'[3]Plan Tron'!B53</f>
        <v xml:space="preserve">380404 </v>
      </c>
      <c r="C745" s="49" t="str">
        <f>'[3]Plan Tron'!C53</f>
        <v>CPOS</v>
      </c>
      <c r="D745" s="130" t="str">
        <f>'[3]Plan Tron'!D53</f>
        <v xml:space="preserve">ELETRODUTO DE FERRO GALVANIZADO, MÉDIO DE 3/4' - COM ACESSÓRIOS </v>
      </c>
      <c r="E745" s="18" t="str">
        <f>'[3]Plan Tron'!E53</f>
        <v>M</v>
      </c>
      <c r="F745" s="51">
        <v>345</v>
      </c>
      <c r="G745" s="9">
        <v>19.86</v>
      </c>
      <c r="H745" s="9">
        <f>'[3]Plan Tron'!F53</f>
        <v>20.7</v>
      </c>
      <c r="I745" s="131">
        <v>26.44</v>
      </c>
      <c r="J745" s="131">
        <f>ROUND(H745*(I745/100+1),2)</f>
        <v>26.17</v>
      </c>
      <c r="K745" s="383">
        <v>0</v>
      </c>
      <c r="L745" s="474">
        <f t="shared" ref="L745:L750" si="79">F745-K745</f>
        <v>345</v>
      </c>
      <c r="M745" s="471">
        <f t="shared" si="76"/>
        <v>9028.65</v>
      </c>
      <c r="N745" s="405"/>
      <c r="O745" s="541"/>
      <c r="P745" s="405"/>
      <c r="Q745" s="405"/>
      <c r="S745" s="344" t="str">
        <f t="shared" si="74"/>
        <v xml:space="preserve">ELETRODUTO DE FERRO GALVANIZADO, MÉDIO DE 3/4' - COM ACESSÓRIOS </v>
      </c>
    </row>
    <row r="746" spans="1:19" s="344" customFormat="1">
      <c r="A746" s="49" t="s">
        <v>369</v>
      </c>
      <c r="B746" s="50">
        <f>'[3]Plan Tron'!B145</f>
        <v>83443</v>
      </c>
      <c r="C746" s="49" t="str">
        <f>'[3]Plan Tron'!C145</f>
        <v>SINAPI</v>
      </c>
      <c r="D746" s="35" t="str">
        <f>'[3]Plan Tron'!D145</f>
        <v xml:space="preserve"> CAIXA DE PASSAGEM 20X20X25 FUNDO BRITA COM TAMPA </v>
      </c>
      <c r="E746" s="672" t="str">
        <f>'[3]Plan Tron'!E145</f>
        <v>UN.</v>
      </c>
      <c r="F746" s="51">
        <v>16</v>
      </c>
      <c r="G746" s="9">
        <v>8.98</v>
      </c>
      <c r="H746" s="9">
        <f>'[3]Plan Tron'!F145</f>
        <v>44.23</v>
      </c>
      <c r="I746" s="131">
        <v>26.44</v>
      </c>
      <c r="J746" s="131">
        <f>ROUND(H746*(I746/100+1),2)</f>
        <v>55.92</v>
      </c>
      <c r="K746" s="383">
        <v>0</v>
      </c>
      <c r="L746" s="474">
        <f t="shared" si="79"/>
        <v>16</v>
      </c>
      <c r="M746" s="471">
        <f t="shared" si="76"/>
        <v>894.72</v>
      </c>
      <c r="N746" s="405"/>
      <c r="O746" s="541"/>
      <c r="P746" s="405"/>
      <c r="Q746" s="405"/>
      <c r="S746" s="344" t="str">
        <f t="shared" si="74"/>
        <v xml:space="preserve"> CAIXA DE PASSAGEM 20X20X25 FUNDO BRITA COM TAMPA </v>
      </c>
    </row>
    <row r="747" spans="1:19" s="344" customFormat="1">
      <c r="A747" s="49" t="s">
        <v>367</v>
      </c>
      <c r="B747" s="50" t="s">
        <v>1047</v>
      </c>
      <c r="C747" s="49" t="s">
        <v>2015</v>
      </c>
      <c r="D747" s="35" t="s">
        <v>2211</v>
      </c>
      <c r="E747" s="18" t="s">
        <v>2338</v>
      </c>
      <c r="F747" s="51">
        <v>33</v>
      </c>
      <c r="G747" s="9">
        <v>9.82</v>
      </c>
      <c r="H747" s="9">
        <f t="shared" ref="H747:H750" si="80">G747*$P$7</f>
        <v>11.345046</v>
      </c>
      <c r="I747" s="131">
        <v>26.44</v>
      </c>
      <c r="J747" s="131">
        <f t="shared" ref="J747:J750" si="81">ROUND(H747*(I747/100+1),2)</f>
        <v>14.34</v>
      </c>
      <c r="K747" s="383">
        <v>0</v>
      </c>
      <c r="L747" s="474">
        <f t="shared" si="79"/>
        <v>33</v>
      </c>
      <c r="M747" s="471">
        <f t="shared" si="76"/>
        <v>473.22</v>
      </c>
      <c r="N747" s="405"/>
      <c r="O747" s="541"/>
      <c r="P747" s="405"/>
      <c r="Q747" s="405"/>
      <c r="S747" s="344" t="str">
        <f t="shared" si="74"/>
        <v>CAIXA DE LIGAÇÃO ("CONDULETE"), TIPO "T", Ø3/4", COM TAMPA CEGA.</v>
      </c>
    </row>
    <row r="748" spans="1:19" s="344" customFormat="1">
      <c r="A748" s="49" t="s">
        <v>365</v>
      </c>
      <c r="B748" s="50" t="s">
        <v>1046</v>
      </c>
      <c r="C748" s="49" t="s">
        <v>2015</v>
      </c>
      <c r="D748" s="35" t="s">
        <v>2212</v>
      </c>
      <c r="E748" s="7" t="s">
        <v>2338</v>
      </c>
      <c r="F748" s="21">
        <v>28</v>
      </c>
      <c r="G748" s="9">
        <v>9.01</v>
      </c>
      <c r="H748" s="9">
        <f t="shared" si="80"/>
        <v>10.409253</v>
      </c>
      <c r="I748" s="131">
        <v>26.44</v>
      </c>
      <c r="J748" s="131">
        <f t="shared" si="81"/>
        <v>13.16</v>
      </c>
      <c r="K748" s="383">
        <v>0</v>
      </c>
      <c r="L748" s="474">
        <f t="shared" si="79"/>
        <v>28</v>
      </c>
      <c r="M748" s="471">
        <f t="shared" si="76"/>
        <v>368.48</v>
      </c>
      <c r="N748" s="405"/>
      <c r="O748" s="541"/>
      <c r="P748" s="405"/>
      <c r="Q748" s="405"/>
      <c r="S748" s="344" t="str">
        <f t="shared" si="74"/>
        <v>CAIXA DE LIGAÇÃO ("CONDULETE"), TIPO "LL", Ø3/4", COM TAMPA CEGA.</v>
      </c>
    </row>
    <row r="749" spans="1:19" s="344" customFormat="1">
      <c r="A749" s="49" t="s">
        <v>1045</v>
      </c>
      <c r="B749" s="50" t="s">
        <v>1044</v>
      </c>
      <c r="C749" s="49" t="s">
        <v>2015</v>
      </c>
      <c r="D749" s="35" t="s">
        <v>2213</v>
      </c>
      <c r="E749" s="7" t="s">
        <v>2338</v>
      </c>
      <c r="F749" s="21">
        <v>10</v>
      </c>
      <c r="G749" s="9">
        <v>8.18</v>
      </c>
      <c r="H749" s="9">
        <f t="shared" si="80"/>
        <v>9.450353999999999</v>
      </c>
      <c r="I749" s="131">
        <v>26.44</v>
      </c>
      <c r="J749" s="131">
        <f t="shared" si="81"/>
        <v>11.95</v>
      </c>
      <c r="K749" s="383">
        <v>0</v>
      </c>
      <c r="L749" s="474">
        <f t="shared" si="79"/>
        <v>10</v>
      </c>
      <c r="M749" s="471">
        <f t="shared" si="76"/>
        <v>119.5</v>
      </c>
      <c r="N749" s="405"/>
      <c r="O749" s="541"/>
      <c r="P749" s="405"/>
      <c r="Q749" s="405"/>
      <c r="S749" s="344" t="str">
        <f t="shared" si="74"/>
        <v>CAIXA DE LIGAÇÃO ("CONDULETE"), TIPO "E", Ø3/4", COM TAMPA CEGA.</v>
      </c>
    </row>
    <row r="750" spans="1:19" s="344" customFormat="1">
      <c r="A750" s="49" t="s">
        <v>1043</v>
      </c>
      <c r="B750" s="11">
        <v>83457</v>
      </c>
      <c r="C750" s="49" t="s">
        <v>2015</v>
      </c>
      <c r="D750" s="35" t="s">
        <v>2214</v>
      </c>
      <c r="E750" s="7" t="s">
        <v>2338</v>
      </c>
      <c r="F750" s="21">
        <v>10</v>
      </c>
      <c r="G750" s="9">
        <v>12.3</v>
      </c>
      <c r="H750" s="9">
        <f t="shared" si="80"/>
        <v>14.210190000000001</v>
      </c>
      <c r="I750" s="131">
        <v>26.44</v>
      </c>
      <c r="J750" s="131">
        <f t="shared" si="81"/>
        <v>17.97</v>
      </c>
      <c r="K750" s="383">
        <v>0</v>
      </c>
      <c r="L750" s="474">
        <f t="shared" si="79"/>
        <v>10</v>
      </c>
      <c r="M750" s="471">
        <f t="shared" si="76"/>
        <v>179.7</v>
      </c>
      <c r="N750" s="405"/>
      <c r="O750" s="541"/>
      <c r="P750" s="405"/>
      <c r="Q750" s="405"/>
      <c r="S750" s="344" t="str">
        <f t="shared" si="74"/>
        <v>CAIXA DE LIGAÇÃO ("CONDULETE"), TIPO "TB", Ø3/4", COM TAMPA CEGA.</v>
      </c>
    </row>
    <row r="751" spans="1:19" s="414" customFormat="1">
      <c r="A751" s="410" t="s">
        <v>15</v>
      </c>
      <c r="B751" s="428"/>
      <c r="C751" s="410"/>
      <c r="D751" s="420" t="s">
        <v>2152</v>
      </c>
      <c r="E751" s="617"/>
      <c r="F751" s="619"/>
      <c r="G751" s="412"/>
      <c r="H751" s="412"/>
      <c r="I751" s="642"/>
      <c r="J751" s="642"/>
      <c r="K751" s="498"/>
      <c r="L751" s="474"/>
      <c r="M751" s="471"/>
      <c r="N751" s="419"/>
      <c r="O751" s="541"/>
      <c r="P751" s="419"/>
      <c r="Q751" s="419"/>
      <c r="S751" s="414" t="str">
        <f t="shared" si="74"/>
        <v>ILUMINAÇÃO</v>
      </c>
    </row>
    <row r="752" spans="1:19" s="344" customFormat="1" ht="25.5">
      <c r="A752" s="49" t="s">
        <v>249</v>
      </c>
      <c r="B752" s="50" t="str">
        <f>'[3]Plan Tron'!B97</f>
        <v xml:space="preserve">73953/006 </v>
      </c>
      <c r="C752" s="49" t="str">
        <f>'[3]Plan Tron'!C97</f>
        <v>SINAPI</v>
      </c>
      <c r="D752" s="295" t="str">
        <f>'[3]Plan Tron'!D97</f>
        <v>LUMINARIA TIPO CALHA, DE SOBREPOR, COM REATOR DE PARTIDA RAPIDA E LAMPADA FLUORESCENTE 2X40W, COMPLETA, FORNECIMENTO E INSTALACAO</v>
      </c>
      <c r="E752" s="77" t="str">
        <f>'[3]Plan Tron'!E97</f>
        <v>UN.</v>
      </c>
      <c r="F752" s="21">
        <v>11</v>
      </c>
      <c r="G752" s="9">
        <v>73.319999999999993</v>
      </c>
      <c r="H752" s="9">
        <f>'[3]Plan Tron'!F97</f>
        <v>95.01</v>
      </c>
      <c r="I752" s="131">
        <v>26.44</v>
      </c>
      <c r="J752" s="131">
        <f>ROUND(H752*(I752/100+1),2)</f>
        <v>120.13</v>
      </c>
      <c r="K752" s="383">
        <v>0</v>
      </c>
      <c r="L752" s="474">
        <f>F752-K752</f>
        <v>11</v>
      </c>
      <c r="M752" s="471">
        <f t="shared" si="76"/>
        <v>1321.43</v>
      </c>
      <c r="N752" s="405"/>
      <c r="O752" s="541"/>
      <c r="P752" s="405"/>
      <c r="Q752" s="405"/>
      <c r="S752" s="344" t="str">
        <f t="shared" si="74"/>
        <v>LUMINARIA TIPO CALHA, DE SOBREPOR, COM REATOR DE PARTIDA RAPIDA E LAMPADA FLUORESCENTE 2X40W, COMPLETA, FORNECIMENTO E INSTALACAO</v>
      </c>
    </row>
    <row r="753" spans="1:37" s="344" customFormat="1" ht="25.5">
      <c r="A753" s="49" t="s">
        <v>265</v>
      </c>
      <c r="B753" s="50">
        <f>'[3]Plan Tron'!B146</f>
        <v>411306</v>
      </c>
      <c r="C753" s="49" t="str">
        <f>'[3]Plan Tron'!C146</f>
        <v>CPOS</v>
      </c>
      <c r="D753" s="295" t="str">
        <f>UPPER('[3]Plan Tron'!D146)</f>
        <v>LUMINÁRIA BLINDADA DE SOBREPOR OU PENDENTE EM CALHA FECHADA PARA 4 LÂMPADAS FLUORESCENTES DE 32/36/40W</v>
      </c>
      <c r="E753" s="606" t="str">
        <f>'[3]Plan Tron'!E146</f>
        <v>UN.</v>
      </c>
      <c r="F753" s="21">
        <v>7</v>
      </c>
      <c r="G753" s="9">
        <v>124.26</v>
      </c>
      <c r="H753" s="9">
        <f>'[3]Plan Tron'!F146</f>
        <v>209.96</v>
      </c>
      <c r="I753" s="131">
        <v>26.44</v>
      </c>
      <c r="J753" s="131">
        <f t="shared" ref="J753:J759" si="82">ROUND(H753*(I753/100+1),2)</f>
        <v>265.47000000000003</v>
      </c>
      <c r="K753" s="383">
        <v>0</v>
      </c>
      <c r="L753" s="474">
        <f>F753-K753</f>
        <v>7</v>
      </c>
      <c r="M753" s="471">
        <f t="shared" si="76"/>
        <v>1858.29</v>
      </c>
      <c r="N753" s="405"/>
      <c r="O753" s="541"/>
      <c r="P753" s="405"/>
      <c r="Q753" s="405"/>
      <c r="S753" s="344" t="str">
        <f t="shared" si="74"/>
        <v>LUMINÁRIA BLINDADA DE SOBREPOR OU PENDENTE EM CALHA FECHADA PARA 4 LÂMPADAS FLUORESCENTES DE 32/36/40W</v>
      </c>
    </row>
    <row r="754" spans="1:37" s="344" customFormat="1" ht="13.5" customHeight="1">
      <c r="A754" s="49" t="s">
        <v>263</v>
      </c>
      <c r="B754" s="50" t="str">
        <f>'[3]Plan Tron'!B147</f>
        <v xml:space="preserve">74041/002 </v>
      </c>
      <c r="C754" s="49" t="str">
        <f>'[3]Plan Tron'!C147</f>
        <v>SINAPI</v>
      </c>
      <c r="D754" s="35" t="str">
        <f>'[3]Plan Tron'!D147</f>
        <v xml:space="preserve">LUMINARIA GLOBO VIDRO LEITOSO/PLAFONIER/BOCAL/LAMPADA FLUORESCENTE 40W </v>
      </c>
      <c r="E754" s="77" t="str">
        <f>'[3]Plan Tron'!E147</f>
        <v>UN.</v>
      </c>
      <c r="F754" s="21">
        <v>9</v>
      </c>
      <c r="G754" s="9">
        <v>37</v>
      </c>
      <c r="H754" s="9">
        <f>'[3]Plan Tron'!F147</f>
        <v>63</v>
      </c>
      <c r="I754" s="131">
        <v>26.44</v>
      </c>
      <c r="J754" s="131">
        <f t="shared" si="82"/>
        <v>79.66</v>
      </c>
      <c r="K754" s="383">
        <v>0</v>
      </c>
      <c r="L754" s="474">
        <f>F754-K754</f>
        <v>9</v>
      </c>
      <c r="M754" s="471">
        <f t="shared" si="76"/>
        <v>716.94</v>
      </c>
      <c r="N754" s="405"/>
      <c r="O754" s="541"/>
      <c r="P754" s="405"/>
      <c r="Q754" s="405"/>
      <c r="S754" s="344" t="str">
        <f t="shared" si="74"/>
        <v xml:space="preserve">LUMINARIA GLOBO VIDRO LEITOSO/PLAFONIER/BOCAL/LAMPADA FLUORESCENTE 40W </v>
      </c>
    </row>
    <row r="755" spans="1:37" s="414" customFormat="1">
      <c r="A755" s="410" t="s">
        <v>14</v>
      </c>
      <c r="B755" s="428"/>
      <c r="C755" s="410"/>
      <c r="D755" s="429" t="s">
        <v>2215</v>
      </c>
      <c r="E755" s="617"/>
      <c r="F755" s="619"/>
      <c r="G755" s="412"/>
      <c r="H755" s="412"/>
      <c r="I755" s="642"/>
      <c r="J755" s="131"/>
      <c r="K755" s="498"/>
      <c r="L755" s="474"/>
      <c r="M755" s="471"/>
      <c r="N755" s="419"/>
      <c r="O755" s="541"/>
      <c r="P755" s="419"/>
      <c r="Q755" s="419"/>
      <c r="S755" s="414" t="str">
        <f t="shared" si="74"/>
        <v>ATERRAMENTO E SPDA</v>
      </c>
    </row>
    <row r="756" spans="1:37" s="344" customFormat="1">
      <c r="A756" s="49" t="s">
        <v>181</v>
      </c>
      <c r="B756" s="49">
        <f>'[3]Plan Tron'!B59</f>
        <v>72254</v>
      </c>
      <c r="C756" s="49" t="str">
        <f>'[3]Plan Tron'!C59</f>
        <v>SINAPI</v>
      </c>
      <c r="D756" s="130" t="str">
        <f>'[3]Plan Tron'!D59</f>
        <v>CABO DE COBRE NU, SEÇÃO 50 MM², ENCORDOAMENTO CLASSE 2.</v>
      </c>
      <c r="E756" s="7" t="str">
        <f>'[3]Plan Tron'!E59</f>
        <v>M</v>
      </c>
      <c r="F756" s="21">
        <v>90</v>
      </c>
      <c r="G756" s="9">
        <v>22.41</v>
      </c>
      <c r="H756" s="9">
        <f>'[3]Plan Tron'!F63</f>
        <v>31.11</v>
      </c>
      <c r="I756" s="131">
        <v>26.44</v>
      </c>
      <c r="J756" s="131">
        <f t="shared" si="82"/>
        <v>39.340000000000003</v>
      </c>
      <c r="K756" s="383">
        <v>0</v>
      </c>
      <c r="L756" s="474">
        <f>F756-K756</f>
        <v>90</v>
      </c>
      <c r="M756" s="471">
        <f t="shared" si="76"/>
        <v>3540.6</v>
      </c>
      <c r="N756" s="405"/>
      <c r="O756" s="541"/>
      <c r="P756" s="405"/>
      <c r="Q756" s="405"/>
      <c r="S756" s="344" t="str">
        <f t="shared" si="74"/>
        <v>CABO DE COBRE NU, SEÇÃO 50 MM², ENCORDOAMENTO CLASSE 2.</v>
      </c>
    </row>
    <row r="757" spans="1:37" s="344" customFormat="1">
      <c r="A757" s="49" t="s">
        <v>180</v>
      </c>
      <c r="B757" s="49">
        <f>'[3]Plan Tron'!B148</f>
        <v>72315</v>
      </c>
      <c r="C757" s="49" t="str">
        <f>'[3]Plan Tron'!C148</f>
        <v>SINAPI</v>
      </c>
      <c r="D757" s="130" t="str">
        <f>'[3]Plan Tron'!D148</f>
        <v xml:space="preserve">TERMINAL AEREO EM ACO GALVANIZADO COM BASE DE FIXACAO H = 30CM </v>
      </c>
      <c r="E757" s="672" t="str">
        <f>'[3]Plan Tron'!E148</f>
        <v>UN.</v>
      </c>
      <c r="F757" s="21">
        <v>17</v>
      </c>
      <c r="G757" s="9">
        <v>17.12</v>
      </c>
      <c r="H757" s="9">
        <f>'[3]Plan Tron'!F148</f>
        <v>25.6</v>
      </c>
      <c r="I757" s="131">
        <v>26.44</v>
      </c>
      <c r="J757" s="131">
        <f t="shared" si="82"/>
        <v>32.369999999999997</v>
      </c>
      <c r="K757" s="383">
        <v>0</v>
      </c>
      <c r="L757" s="474">
        <f>F757-K757</f>
        <v>17</v>
      </c>
      <c r="M757" s="471">
        <f t="shared" si="76"/>
        <v>550.29</v>
      </c>
      <c r="N757" s="405"/>
      <c r="O757" s="541"/>
      <c r="P757" s="405"/>
      <c r="Q757" s="405"/>
      <c r="S757" s="344" t="str">
        <f t="shared" si="74"/>
        <v xml:space="preserve">TERMINAL AEREO EM ACO GALVANIZADO COM BASE DE FIXACAO H = 30CM </v>
      </c>
    </row>
    <row r="758" spans="1:37" s="344" customFormat="1">
      <c r="A758" s="49" t="s">
        <v>179</v>
      </c>
      <c r="B758" s="49">
        <f>'[3]Plan Tron'!B60</f>
        <v>83484</v>
      </c>
      <c r="C758" s="49" t="str">
        <f>'[3]Plan Tron'!C60</f>
        <v>SINAPI</v>
      </c>
      <c r="D758" s="130" t="str">
        <f>'[3]Plan Tron'!D60</f>
        <v>HASTE DE ATERRAMENTO DE AÇO COBREADO Ø3/4"X3,0M.</v>
      </c>
      <c r="E758" s="7" t="str">
        <f>'[3]Plan Tron'!E60</f>
        <v>PÇ.</v>
      </c>
      <c r="F758" s="21">
        <v>8</v>
      </c>
      <c r="G758" s="9">
        <v>47.99</v>
      </c>
      <c r="H758" s="9">
        <f>'[3]Plan Tron'!F60</f>
        <v>61.62</v>
      </c>
      <c r="I758" s="131">
        <v>26.44</v>
      </c>
      <c r="J758" s="131">
        <f t="shared" si="82"/>
        <v>77.91</v>
      </c>
      <c r="K758" s="383">
        <v>0</v>
      </c>
      <c r="L758" s="474">
        <f>F758-K758</f>
        <v>8</v>
      </c>
      <c r="M758" s="471">
        <f t="shared" si="76"/>
        <v>623.28</v>
      </c>
      <c r="N758" s="405"/>
      <c r="O758" s="541"/>
      <c r="P758" s="405"/>
      <c r="Q758" s="405"/>
      <c r="S758" s="344" t="str">
        <f t="shared" si="74"/>
        <v>HASTE DE ATERRAMENTO DE AÇO COBREADO Ø3/4"X3,0M.</v>
      </c>
    </row>
    <row r="759" spans="1:37" s="344" customFormat="1">
      <c r="A759" s="49" t="s">
        <v>178</v>
      </c>
      <c r="B759" s="49">
        <f>'[3]Plan Tron'!B149</f>
        <v>93009</v>
      </c>
      <c r="C759" s="49" t="str">
        <f>'[3]Plan Tron'!C149</f>
        <v>SINAPI</v>
      </c>
      <c r="D759" s="130" t="str">
        <f>'[3]Plan Tron'!D149</f>
        <v>ELETRODUTO RÍGIDO ROSCÁVEL, PVC, DN 60 MM (2") - FORNECIMENTO E INSTALAÇÃO. AF_12/2015</v>
      </c>
      <c r="E759" s="672" t="str">
        <f>'[3]Plan Tron'!E149</f>
        <v>M</v>
      </c>
      <c r="F759" s="21">
        <v>24</v>
      </c>
      <c r="G759" s="9">
        <v>18.86</v>
      </c>
      <c r="H759" s="9">
        <f>'[3]Plan Tron'!F149</f>
        <v>13.45</v>
      </c>
      <c r="I759" s="131">
        <v>26.44</v>
      </c>
      <c r="J759" s="131">
        <f t="shared" si="82"/>
        <v>17.010000000000002</v>
      </c>
      <c r="K759" s="383">
        <v>0</v>
      </c>
      <c r="L759" s="474">
        <f>F759-K759</f>
        <v>24</v>
      </c>
      <c r="M759" s="471">
        <f t="shared" si="76"/>
        <v>408.24</v>
      </c>
      <c r="N759" s="405"/>
      <c r="O759" s="541"/>
      <c r="P759" s="405"/>
      <c r="Q759" s="405"/>
      <c r="S759" s="344" t="str">
        <f t="shared" si="74"/>
        <v>ELETRODUTO RÍGIDO ROSCÁVEL, PVC, DN 60 MM (2") - FORNECIMENTO E INSTALAÇÃO. AF_12/2015</v>
      </c>
    </row>
    <row r="760" spans="1:37">
      <c r="A760" s="49"/>
      <c r="B760" s="57"/>
      <c r="C760" s="49"/>
      <c r="D760" s="65"/>
      <c r="E760" s="18"/>
      <c r="F760" s="36"/>
      <c r="G760" s="316"/>
      <c r="H760" s="20"/>
      <c r="I760" s="20"/>
      <c r="J760" s="20"/>
      <c r="K760" s="65"/>
      <c r="L760" s="474"/>
      <c r="M760" s="472"/>
      <c r="N760" s="405"/>
      <c r="O760" s="541"/>
      <c r="P760" s="405"/>
      <c r="Q760" s="405"/>
    </row>
    <row r="761" spans="1:37">
      <c r="A761" s="49"/>
      <c r="B761" s="57"/>
      <c r="C761" s="49"/>
      <c r="D761" s="65"/>
      <c r="E761" s="18"/>
      <c r="F761" s="36"/>
      <c r="G761" s="316"/>
      <c r="H761" s="20"/>
      <c r="I761" s="20"/>
      <c r="J761" s="20"/>
      <c r="K761" s="65"/>
      <c r="L761" s="474"/>
      <c r="M761" s="471"/>
      <c r="N761" s="405"/>
      <c r="O761" s="541"/>
      <c r="P761" s="405"/>
      <c r="Q761" s="405"/>
    </row>
    <row r="762" spans="1:37" s="299" customFormat="1">
      <c r="A762" s="297"/>
      <c r="B762" s="298"/>
      <c r="C762" s="298"/>
      <c r="D762" s="511" t="s">
        <v>2360</v>
      </c>
      <c r="E762" s="297"/>
      <c r="F762" s="298"/>
      <c r="G762" s="301"/>
      <c r="H762" s="338"/>
      <c r="I762" s="298"/>
      <c r="J762" s="298"/>
      <c r="K762" s="511"/>
      <c r="L762" s="508"/>
      <c r="M762" s="505">
        <f>SUM(M728:M760)</f>
        <v>39055.770000000004</v>
      </c>
      <c r="N762" s="405"/>
      <c r="O762" s="541"/>
      <c r="P762" s="405"/>
      <c r="Q762" s="405"/>
      <c r="R762" s="388"/>
      <c r="S762" s="344" t="str">
        <f t="shared" ref="S762:S784" si="83">UPPER(D762)</f>
        <v>TOTAL 18.2</v>
      </c>
      <c r="T762" s="388"/>
      <c r="U762" s="388"/>
      <c r="V762" s="388"/>
      <c r="W762" s="388"/>
      <c r="X762" s="388"/>
      <c r="Y762" s="388"/>
      <c r="Z762" s="388"/>
      <c r="AA762" s="388"/>
      <c r="AB762" s="388"/>
      <c r="AC762" s="388"/>
      <c r="AD762" s="388"/>
      <c r="AE762" s="388"/>
      <c r="AF762" s="388"/>
      <c r="AG762" s="388"/>
      <c r="AH762" s="388"/>
      <c r="AI762" s="388"/>
      <c r="AJ762" s="388"/>
      <c r="AK762" s="388"/>
    </row>
    <row r="763" spans="1:37" s="299" customFormat="1">
      <c r="A763" s="297"/>
      <c r="B763" s="298"/>
      <c r="C763" s="298"/>
      <c r="D763" s="442" t="s">
        <v>76</v>
      </c>
      <c r="E763" s="297" t="s">
        <v>76</v>
      </c>
      <c r="F763" s="298"/>
      <c r="G763" s="301"/>
      <c r="H763" s="338"/>
      <c r="I763" s="298"/>
      <c r="J763" s="298"/>
      <c r="K763" s="341"/>
      <c r="L763" s="474"/>
      <c r="M763" s="471"/>
      <c r="N763" s="405"/>
      <c r="O763" s="541"/>
      <c r="P763" s="405"/>
      <c r="Q763" s="405"/>
      <c r="R763" s="388"/>
      <c r="S763" s="344" t="str">
        <f t="shared" si="83"/>
        <v/>
      </c>
      <c r="T763" s="388"/>
      <c r="U763" s="388"/>
      <c r="V763" s="388"/>
      <c r="W763" s="388"/>
      <c r="X763" s="388"/>
      <c r="Y763" s="388"/>
      <c r="Z763" s="388"/>
      <c r="AA763" s="388"/>
      <c r="AB763" s="388"/>
      <c r="AC763" s="388"/>
      <c r="AD763" s="388"/>
      <c r="AE763" s="388"/>
      <c r="AF763" s="388"/>
      <c r="AG763" s="388"/>
      <c r="AH763" s="388"/>
      <c r="AI763" s="388"/>
      <c r="AJ763" s="388"/>
      <c r="AK763" s="388"/>
    </row>
    <row r="764" spans="1:37" s="450" customFormat="1">
      <c r="A764" s="445">
        <v>20</v>
      </c>
      <c r="B764" s="446"/>
      <c r="C764" s="447"/>
      <c r="D764" s="448" t="s">
        <v>1966</v>
      </c>
      <c r="E764" s="453" t="s">
        <v>76</v>
      </c>
      <c r="F764" s="446"/>
      <c r="G764" s="446"/>
      <c r="H764" s="446"/>
      <c r="I764" s="446"/>
      <c r="J764" s="446"/>
      <c r="K764" s="473"/>
      <c r="L764" s="478"/>
      <c r="M764" s="479"/>
      <c r="N764" s="454"/>
      <c r="O764" s="541"/>
      <c r="P764" s="454"/>
      <c r="Q764" s="454"/>
      <c r="S764" s="450" t="str">
        <f t="shared" si="83"/>
        <v>DESINFECÇÃO POR GÁS CLORO</v>
      </c>
    </row>
    <row r="765" spans="1:37" s="450" customFormat="1">
      <c r="A765" s="445" t="s">
        <v>56</v>
      </c>
      <c r="B765" s="446"/>
      <c r="C765" s="447"/>
      <c r="D765" s="448" t="s">
        <v>1998</v>
      </c>
      <c r="E765" s="453" t="s">
        <v>76</v>
      </c>
      <c r="F765" s="446"/>
      <c r="G765" s="446"/>
      <c r="H765" s="446"/>
      <c r="I765" s="446"/>
      <c r="J765" s="446"/>
      <c r="K765" s="473"/>
      <c r="L765" s="478"/>
      <c r="M765" s="479"/>
      <c r="N765" s="454"/>
      <c r="O765" s="541"/>
      <c r="P765" s="454"/>
      <c r="Q765" s="454"/>
      <c r="S765" s="450" t="str">
        <f t="shared" si="83"/>
        <v>CASA DE CLORAÇÃO (DESINFECÇÃO POR GÁS CLORO)</v>
      </c>
    </row>
    <row r="766" spans="1:37" s="344" customFormat="1">
      <c r="A766" s="45">
        <v>1</v>
      </c>
      <c r="B766" s="25"/>
      <c r="C766" s="45"/>
      <c r="D766" s="399" t="s">
        <v>2038</v>
      </c>
      <c r="E766" s="24" t="s">
        <v>76</v>
      </c>
      <c r="F766" s="21"/>
      <c r="G766" s="9"/>
      <c r="H766" s="9"/>
      <c r="I766" s="9"/>
      <c r="J766" s="9"/>
      <c r="K766" s="383"/>
      <c r="L766" s="474"/>
      <c r="M766" s="471"/>
      <c r="N766" s="405"/>
      <c r="O766" s="541"/>
      <c r="P766" s="405"/>
      <c r="Q766" s="405"/>
      <c r="S766" s="344" t="str">
        <f t="shared" si="83"/>
        <v>MOVIMENTO DE TERRA</v>
      </c>
    </row>
    <row r="767" spans="1:37" s="414" customFormat="1">
      <c r="A767" s="410" t="s">
        <v>20</v>
      </c>
      <c r="B767" s="411"/>
      <c r="C767" s="410"/>
      <c r="D767" s="434" t="s">
        <v>2041</v>
      </c>
      <c r="E767" s="424" t="s">
        <v>76</v>
      </c>
      <c r="F767" s="422"/>
      <c r="G767" s="412"/>
      <c r="H767" s="412"/>
      <c r="I767" s="412"/>
      <c r="J767" s="412"/>
      <c r="K767" s="498"/>
      <c r="L767" s="474"/>
      <c r="M767" s="471"/>
      <c r="N767" s="419"/>
      <c r="O767" s="541"/>
      <c r="P767" s="419"/>
      <c r="Q767" s="419"/>
      <c r="S767" s="414" t="str">
        <f t="shared" si="83"/>
        <v>ESCAVAÇÃO DE VALAS</v>
      </c>
    </row>
    <row r="768" spans="1:37" s="414" customFormat="1">
      <c r="A768" s="410" t="s">
        <v>153</v>
      </c>
      <c r="B768" s="411"/>
      <c r="C768" s="410"/>
      <c r="D768" s="434" t="s">
        <v>2042</v>
      </c>
      <c r="E768" s="424" t="s">
        <v>76</v>
      </c>
      <c r="F768" s="422"/>
      <c r="G768" s="412"/>
      <c r="H768" s="412"/>
      <c r="I768" s="412"/>
      <c r="J768" s="412"/>
      <c r="K768" s="498"/>
      <c r="L768" s="474"/>
      <c r="M768" s="471"/>
      <c r="N768" s="419"/>
      <c r="O768" s="541"/>
      <c r="P768" s="419"/>
      <c r="Q768" s="419"/>
      <c r="S768" s="414" t="str">
        <f t="shared" si="83"/>
        <v>ESCAVAÇÃO MECÂNICA DE CAVAS</v>
      </c>
    </row>
    <row r="769" spans="1:19" s="344" customFormat="1" ht="38.25" hidden="1">
      <c r="A769" s="49" t="s">
        <v>152</v>
      </c>
      <c r="B769" s="49">
        <f>'[3]Plan Tron'!B150</f>
        <v>90082</v>
      </c>
      <c r="C769" s="49" t="str">
        <f>'[3]Plan Tron'!C150</f>
        <v>SINAPI</v>
      </c>
      <c r="D769" s="84" t="str">
        <f>'[3]Plan Tron'!D150</f>
        <v>ESCAVAÇÃO MECANIZADA DE VALA COM PROF. ATÉ 1,5 M (MÉDIA ENTRE MONTANTE E JUSANTE/UMA COMPOSIÇÃO POR TRECHO), COM ESCAVADEIRA HIDRÁULICA (0,8M3/111 HP), LARG. DE 1,5 M A 2,5 M, EM SOLO DE 1A CATEGORIA, EM LOCAIS COM ALTO NÍVEL DE INTERFERÊNCIA. AF_01/2015</v>
      </c>
      <c r="E769" s="77" t="str">
        <f>'[3]Plan Tron'!E150</f>
        <v>M³</v>
      </c>
      <c r="F769" s="21">
        <v>261.26</v>
      </c>
      <c r="G769" s="9">
        <v>10.220000000000001</v>
      </c>
      <c r="H769" s="9">
        <f>'[3]Plan Tron'!F150</f>
        <v>12.82</v>
      </c>
      <c r="I769" s="9">
        <v>26.44</v>
      </c>
      <c r="J769" s="9">
        <f>ROUND(H769*(I769/100+1),2)</f>
        <v>16.21</v>
      </c>
      <c r="K769" s="383">
        <v>261.26</v>
      </c>
      <c r="L769" s="474">
        <f>F769-K769</f>
        <v>0</v>
      </c>
      <c r="M769" s="471">
        <f t="shared" ref="M769:M784" si="84">ROUND(L769*J769,2)</f>
        <v>0</v>
      </c>
      <c r="N769" s="405"/>
      <c r="O769" s="541"/>
      <c r="P769" s="405"/>
      <c r="Q769" s="405"/>
      <c r="S769" s="344" t="str">
        <f t="shared" si="83"/>
        <v>ESCAVAÇÃO MECANIZADA DE VALA COM PROF. ATÉ 1,5 M (MÉDIA ENTRE MONTANTE E JUSANTE/UMA COMPOSIÇÃO POR TRECHO), COM ESCAVADEIRA HIDRÁULICA (0,8M3/111 HP), LARG. DE 1,5 M A 2,5 M, EM SOLO DE 1A CATEGORIA, EM LOCAIS COM ALTO NÍVEL DE INTERFERÊNCIA. AF_01/2015</v>
      </c>
    </row>
    <row r="770" spans="1:19" s="390" customFormat="1" ht="39.75" hidden="1" customHeight="1">
      <c r="A770" s="49" t="s">
        <v>320</v>
      </c>
      <c r="B770" s="49">
        <f>'[3]Plan Tron'!B151</f>
        <v>90084</v>
      </c>
      <c r="C770" s="49" t="str">
        <f>'[3]Plan Tron'!C151</f>
        <v>SINAPI</v>
      </c>
      <c r="D770" s="84" t="str">
        <f>'[3]Plan Tron'!D151</f>
        <v>ESCAVAÇÃO MECANIZADA DE VALA COM PROF. MAIOR QUE 1,5 M ATÉ 3,0 M (MÉDIA ENTRE MONTANTE E JUSANTE/UMA COMPOSIÇÃO POR TRECHO), COM ESCAVADEIRA HIDRÁULICA (0,8 M3/111 HP), LARGURA ATÉ 1,5 M, EM SOLO DE 1A CATEGORIA, EM LOCAIS COM ALTO NÍVEL DE INTERFERÊNCIA. AF_01/2015</v>
      </c>
      <c r="E770" s="77" t="str">
        <f>'[3]Plan Tron'!E151</f>
        <v>M³</v>
      </c>
      <c r="F770" s="21">
        <v>20.81</v>
      </c>
      <c r="G770" s="9">
        <v>11.73</v>
      </c>
      <c r="H770" s="9">
        <f>'[3]Plan Tron'!F151</f>
        <v>11.27</v>
      </c>
      <c r="I770" s="9">
        <v>26.44</v>
      </c>
      <c r="J770" s="9">
        <f>ROUND(H770*(I770/100+1),2)</f>
        <v>14.25</v>
      </c>
      <c r="K770" s="631">
        <v>26.012499999999999</v>
      </c>
      <c r="L770" s="632"/>
      <c r="M770" s="471">
        <f t="shared" si="84"/>
        <v>0</v>
      </c>
      <c r="N770" s="633"/>
      <c r="O770" s="634"/>
      <c r="P770" s="633"/>
      <c r="Q770" s="633"/>
      <c r="S770" s="390" t="str">
        <f t="shared" si="83"/>
        <v>ESCAVAÇÃO MECANIZADA DE VALA COM PROF. MAIOR QUE 1,5 M ATÉ 3,0 M (MÉDIA ENTRE MONTANTE E JUSANTE/UMA COMPOSIÇÃO POR TRECHO), COM ESCAVADEIRA HIDRÁULICA (0,8 M3/111 HP), LARGURA ATÉ 1,5 M, EM SOLO DE 1A CATEGORIA, EM LOCAIS COM ALTO NÍVEL DE INTERFERÊNCIA. AF_01/2015</v>
      </c>
    </row>
    <row r="771" spans="1:19" s="344" customFormat="1" ht="25.5">
      <c r="A771" s="49" t="s">
        <v>1139</v>
      </c>
      <c r="B771" s="49" t="str">
        <f>'[3]Plan Tron'!B6</f>
        <v xml:space="preserve">74151/001 </v>
      </c>
      <c r="C771" s="49" t="str">
        <f>'[3]Plan Tron'!C6</f>
        <v>SINAPI</v>
      </c>
      <c r="D771" s="614" t="str">
        <f>'[3]Plan Tron'!D6</f>
        <v>ESCAVACAO E CARGA MATERIAL 1A CATEGORIA, UTILIZANDO TRATOR DE ESTEIRAS DE 110 A 160HP COM LAMINA, PESO OPERACIONAL * 13T E PA CARREGADEIRA COM 170 HP.</v>
      </c>
      <c r="E771" s="49" t="str">
        <f>'[3]Plan Tron'!E6</f>
        <v>M³</v>
      </c>
      <c r="F771" s="21">
        <v>65.52</v>
      </c>
      <c r="G771" s="9">
        <v>4.88</v>
      </c>
      <c r="H771" s="9">
        <f>'[3]Plan Tron'!F6</f>
        <v>3.37</v>
      </c>
      <c r="I771" s="9">
        <v>26.44</v>
      </c>
      <c r="J771" s="9">
        <f>ROUND(H771*(I771/100+1),2)</f>
        <v>4.26</v>
      </c>
      <c r="K771" s="383">
        <v>62.52</v>
      </c>
      <c r="L771" s="474">
        <f>F771-K771</f>
        <v>2.9999999999999929</v>
      </c>
      <c r="M771" s="471">
        <f t="shared" si="84"/>
        <v>12.78</v>
      </c>
      <c r="N771" s="405"/>
      <c r="O771" s="541"/>
      <c r="P771" s="405"/>
      <c r="Q771" s="405"/>
      <c r="S771" s="344" t="str">
        <f t="shared" si="83"/>
        <v>ESCAVACAO E CARGA MATERIAL 1A CATEGORIA, UTILIZANDO TRATOR DE ESTEIRAS DE 110 A 160HP COM LAMINA, PESO OPERACIONAL * 13T E PA CARREGADEIRA COM 170 HP.</v>
      </c>
    </row>
    <row r="772" spans="1:19" s="344" customFormat="1">
      <c r="A772" s="49" t="s">
        <v>1138</v>
      </c>
      <c r="B772" s="49">
        <f>'[3]Plan Tron'!B8</f>
        <v>60204</v>
      </c>
      <c r="C772" s="49" t="str">
        <f>'[3]Plan Tron'!C8</f>
        <v>CPOS</v>
      </c>
      <c r="D772" s="612" t="str">
        <f>'[3]Plan Tron'!D8</f>
        <v>ESCAVAÇÃO MANUAL EM SOLO DE 1ª E 2ª CATEGORIA EM VALA OU CAVA DE 1,5M A 3M</v>
      </c>
      <c r="E772" s="49" t="str">
        <f>'[3]Plan Tron'!E8</f>
        <v>M³</v>
      </c>
      <c r="F772" s="21">
        <v>5.6</v>
      </c>
      <c r="G772" s="9">
        <v>4.49</v>
      </c>
      <c r="H772" s="9">
        <f>'[3]Plan Tron'!F8</f>
        <v>44</v>
      </c>
      <c r="I772" s="9">
        <v>26.44</v>
      </c>
      <c r="J772" s="9">
        <f>ROUND(H772*(I772/100+1),2)</f>
        <v>55.63</v>
      </c>
      <c r="K772" s="383">
        <v>0</v>
      </c>
      <c r="L772" s="474">
        <f>F772-K772</f>
        <v>5.6</v>
      </c>
      <c r="M772" s="471">
        <f t="shared" si="84"/>
        <v>311.52999999999997</v>
      </c>
      <c r="N772" s="405"/>
      <c r="O772" s="541"/>
      <c r="P772" s="405"/>
      <c r="Q772" s="405"/>
      <c r="S772" s="344" t="str">
        <f t="shared" si="83"/>
        <v>ESCAVAÇÃO MANUAL EM SOLO DE 1ª E 2ª CATEGORIA EM VALA OU CAVA DE 1,5M A 3M</v>
      </c>
    </row>
    <row r="773" spans="1:19" s="414" customFormat="1">
      <c r="A773" s="410" t="s">
        <v>19</v>
      </c>
      <c r="B773" s="411"/>
      <c r="C773" s="410"/>
      <c r="D773" s="434" t="s">
        <v>2111</v>
      </c>
      <c r="E773" s="424"/>
      <c r="F773" s="422"/>
      <c r="G773" s="412"/>
      <c r="H773" s="412"/>
      <c r="I773" s="412"/>
      <c r="J773" s="412"/>
      <c r="K773" s="498"/>
      <c r="L773" s="474"/>
      <c r="M773" s="471"/>
      <c r="N773" s="419"/>
      <c r="O773" s="541"/>
      <c r="P773" s="419"/>
      <c r="Q773" s="419"/>
      <c r="S773" s="414" t="str">
        <f t="shared" si="83"/>
        <v>ATERRO / REATERRO DE VALAS COM OU S/ COMPACTAÇÃO.</v>
      </c>
    </row>
    <row r="774" spans="1:19" s="414" customFormat="1">
      <c r="A774" s="410" t="s">
        <v>147</v>
      </c>
      <c r="B774" s="411"/>
      <c r="C774" s="410"/>
      <c r="D774" s="434" t="s">
        <v>2045</v>
      </c>
      <c r="E774" s="424"/>
      <c r="F774" s="422"/>
      <c r="G774" s="412"/>
      <c r="H774" s="412"/>
      <c r="I774" s="412"/>
      <c r="J774" s="412"/>
      <c r="K774" s="498"/>
      <c r="L774" s="474"/>
      <c r="M774" s="471"/>
      <c r="N774" s="419"/>
      <c r="O774" s="541"/>
      <c r="P774" s="419"/>
      <c r="Q774" s="419"/>
      <c r="S774" s="414" t="str">
        <f t="shared" si="83"/>
        <v>REATERRO DE VALAS</v>
      </c>
    </row>
    <row r="775" spans="1:19" s="344" customFormat="1">
      <c r="A775" s="49" t="s">
        <v>146</v>
      </c>
      <c r="B775" s="49" t="str">
        <f>'[3]Plan Tron'!B12</f>
        <v xml:space="preserve">73964/006 </v>
      </c>
      <c r="C775" s="49" t="str">
        <f>'[3]Plan Tron'!C12</f>
        <v>SINAPI</v>
      </c>
      <c r="D775" s="84" t="str">
        <f>'[3]Plan Tron'!D12</f>
        <v xml:space="preserve">REATERRO DE VALA COM COMPACTAÇÃO MANUAL </v>
      </c>
      <c r="E775" s="77" t="str">
        <f>'[3]Plan Tron'!E12</f>
        <v>M³</v>
      </c>
      <c r="F775" s="21">
        <v>221.87</v>
      </c>
      <c r="G775" s="9">
        <v>20.67</v>
      </c>
      <c r="H775" s="9">
        <f>'[3]Plan Tron'!F12</f>
        <v>49.62</v>
      </c>
      <c r="I775" s="9">
        <v>26.44</v>
      </c>
      <c r="J775" s="9">
        <f>ROUND(H775*(I775/100+1),2)</f>
        <v>62.74</v>
      </c>
      <c r="K775" s="383">
        <v>0</v>
      </c>
      <c r="L775" s="474">
        <f>F775-K775</f>
        <v>221.87</v>
      </c>
      <c r="M775" s="471">
        <f t="shared" si="84"/>
        <v>13920.12</v>
      </c>
      <c r="N775" s="405"/>
      <c r="O775" s="541"/>
      <c r="P775" s="405"/>
      <c r="Q775" s="405"/>
      <c r="S775" s="344" t="str">
        <f t="shared" si="83"/>
        <v xml:space="preserve">REATERRO DE VALA COM COMPACTAÇÃO MANUAL </v>
      </c>
    </row>
    <row r="776" spans="1:19" s="414" customFormat="1">
      <c r="A776" s="410" t="s">
        <v>18</v>
      </c>
      <c r="B776" s="411"/>
      <c r="C776" s="410"/>
      <c r="D776" s="434" t="s">
        <v>2046</v>
      </c>
      <c r="E776" s="424"/>
      <c r="F776" s="422"/>
      <c r="G776" s="412"/>
      <c r="H776" s="412"/>
      <c r="I776" s="412"/>
      <c r="J776" s="412"/>
      <c r="K776" s="498"/>
      <c r="L776" s="474"/>
      <c r="M776" s="471"/>
      <c r="N776" s="419"/>
      <c r="O776" s="541"/>
      <c r="P776" s="419"/>
      <c r="Q776" s="419"/>
      <c r="S776" s="414" t="str">
        <f t="shared" si="83"/>
        <v>CARGA, DESCARGA E/OU TRANSPORTE DE MATERIAIS</v>
      </c>
    </row>
    <row r="777" spans="1:19" s="344" customFormat="1">
      <c r="A777" s="49" t="s">
        <v>201</v>
      </c>
      <c r="B777" s="49">
        <f>'[3]Plan Tron'!B13</f>
        <v>72885</v>
      </c>
      <c r="C777" s="49" t="str">
        <f>'[3]Plan Tron'!C13</f>
        <v>SINAPI</v>
      </c>
      <c r="D777" s="84" t="str">
        <f>'[3]Plan Tron'!D13</f>
        <v>TRANSPORTE COMERCIAL COM CAMINHAO BASCULANTE 6 M3, RODOVIA EM LEITO NATURAL</v>
      </c>
      <c r="E777" s="77" t="str">
        <f>'[3]Plan Tron'!E13</f>
        <v>M³ X KM</v>
      </c>
      <c r="F777" s="21">
        <v>300.99</v>
      </c>
      <c r="G777" s="9">
        <v>1.03</v>
      </c>
      <c r="H777" s="9">
        <f>'[3]Plan Tron'!F13</f>
        <v>1.37</v>
      </c>
      <c r="I777" s="9">
        <v>26.44</v>
      </c>
      <c r="J777" s="9">
        <f>ROUND(H777*(I777/100+1),2)</f>
        <v>1.73</v>
      </c>
      <c r="K777" s="383">
        <v>0</v>
      </c>
      <c r="L777" s="474">
        <f>F777-K777</f>
        <v>300.99</v>
      </c>
      <c r="M777" s="471">
        <f t="shared" si="84"/>
        <v>520.71</v>
      </c>
      <c r="N777" s="405"/>
      <c r="O777" s="541"/>
      <c r="P777" s="405"/>
      <c r="Q777" s="405"/>
      <c r="S777" s="344" t="str">
        <f t="shared" si="83"/>
        <v>TRANSPORTE COMERCIAL COM CAMINHAO BASCULANTE 6 M3, RODOVIA EM LEITO NATURAL</v>
      </c>
    </row>
    <row r="778" spans="1:19" s="344" customFormat="1" ht="25.5">
      <c r="A778" s="49" t="s">
        <v>198</v>
      </c>
      <c r="B778" s="49">
        <f>'[3]Plan Tron'!B14</f>
        <v>72888</v>
      </c>
      <c r="C778" s="49" t="str">
        <f>'[3]Plan Tron'!C14</f>
        <v>SINAPI</v>
      </c>
      <c r="D778" s="84" t="str">
        <f>'[3]Plan Tron'!D14</f>
        <v>CARGA, MANOBRAS E DESCARGA DE AREIA, BRITA, PEDRA DE MAO E SOLOS COM CAMINHAO BASCULANTE 6 M3 (DESCARGA LIVRE)</v>
      </c>
      <c r="E778" s="77" t="str">
        <f>'[3]Plan Tron'!E14</f>
        <v>M³</v>
      </c>
      <c r="F778" s="21">
        <v>60.2</v>
      </c>
      <c r="G778" s="9">
        <v>0.81</v>
      </c>
      <c r="H778" s="9">
        <f>'[3]Plan Tron'!F14</f>
        <v>0.96</v>
      </c>
      <c r="I778" s="9">
        <v>26.44</v>
      </c>
      <c r="J778" s="9">
        <f>ROUND(H778*(I778/100+1),2)</f>
        <v>1.21</v>
      </c>
      <c r="K778" s="383">
        <v>60.2</v>
      </c>
      <c r="L778" s="474">
        <f>F778-K778</f>
        <v>0</v>
      </c>
      <c r="M778" s="471">
        <f t="shared" si="84"/>
        <v>0</v>
      </c>
      <c r="N778" s="405"/>
      <c r="O778" s="541"/>
      <c r="P778" s="405"/>
      <c r="Q778" s="405"/>
      <c r="S778" s="344" t="str">
        <f t="shared" si="83"/>
        <v>CARGA, MANOBRAS E DESCARGA DE AREIA, BRITA, PEDRA DE MAO E SOLOS COM CAMINHAO BASCULANTE 6 M3 (DESCARGA LIVRE)</v>
      </c>
    </row>
    <row r="779" spans="1:19" s="414" customFormat="1">
      <c r="A779" s="410" t="s">
        <v>17</v>
      </c>
      <c r="B779" s="411"/>
      <c r="C779" s="410"/>
      <c r="D779" s="434" t="s">
        <v>2216</v>
      </c>
      <c r="E779" s="424"/>
      <c r="F779" s="422"/>
      <c r="G779" s="412"/>
      <c r="H779" s="412"/>
      <c r="I779" s="412"/>
      <c r="J779" s="412"/>
      <c r="K779" s="498"/>
      <c r="L779" s="474"/>
      <c r="M779" s="471"/>
      <c r="N779" s="419"/>
      <c r="O779" s="541"/>
      <c r="P779" s="419"/>
      <c r="Q779" s="419"/>
      <c r="S779" s="414" t="str">
        <f t="shared" si="83"/>
        <v>ENVOLTÓRIA DE AREIA PARA TUBO - INTERLIGAÇÕES</v>
      </c>
    </row>
    <row r="780" spans="1:19" s="344" customFormat="1" ht="25.5">
      <c r="A780" s="49" t="s">
        <v>195</v>
      </c>
      <c r="B780" s="332">
        <f>'[3]Plan Tron'!B154</f>
        <v>370</v>
      </c>
      <c r="C780" s="332" t="str">
        <f>'[3]Plan Tron'!C154</f>
        <v>SINAPI (INSUMO)</v>
      </c>
      <c r="D780" s="84" t="str">
        <f>'[3]Plan Tron'!D154</f>
        <v xml:space="preserve">AREIA MEDIA - POSTO JAZIDA/FORNECEDOR (RETIRADO NA JAZIDA, SEM TRANSPORTE) </v>
      </c>
      <c r="E780" s="77" t="str">
        <f>'[3]Plan Tron'!E154</f>
        <v>M³</v>
      </c>
      <c r="F780" s="21">
        <v>144.71</v>
      </c>
      <c r="G780" s="9">
        <v>55.5</v>
      </c>
      <c r="H780" s="9">
        <f>'[3]Plan Tron'!F154</f>
        <v>62.75</v>
      </c>
      <c r="I780" s="9">
        <v>26.44</v>
      </c>
      <c r="J780" s="9">
        <f>ROUND(H780*(I780/100+1),2)</f>
        <v>79.34</v>
      </c>
      <c r="K780" s="383">
        <v>0</v>
      </c>
      <c r="L780" s="474">
        <f>F780-K780</f>
        <v>144.71</v>
      </c>
      <c r="M780" s="471">
        <f t="shared" si="84"/>
        <v>11481.29</v>
      </c>
      <c r="N780" s="405"/>
      <c r="O780" s="541"/>
      <c r="P780" s="405"/>
      <c r="Q780" s="405"/>
      <c r="S780" s="344" t="str">
        <f t="shared" si="83"/>
        <v xml:space="preserve">AREIA MEDIA - POSTO JAZIDA/FORNECEDOR (RETIRADO NA JAZIDA, SEM TRANSPORTE) </v>
      </c>
    </row>
    <row r="781" spans="1:19" s="344" customFormat="1" ht="25.5">
      <c r="A781" s="55" t="s">
        <v>192</v>
      </c>
      <c r="B781" s="332">
        <f>'[3]Plan Tron'!B155</f>
        <v>6111</v>
      </c>
      <c r="C781" s="332" t="str">
        <f>'[3]Plan Tron'!C155</f>
        <v>SINAPI (INSUMO)</v>
      </c>
      <c r="D781" s="167" t="str">
        <f>'[3]Plan Tron'!D155</f>
        <v xml:space="preserve">SERVENTE </v>
      </c>
      <c r="E781" s="672" t="str">
        <f>'[3]Plan Tron'!E155</f>
        <v>H</v>
      </c>
      <c r="F781" s="36">
        <f>F780*2</f>
        <v>289.42</v>
      </c>
      <c r="G781" s="19">
        <v>9.84</v>
      </c>
      <c r="H781" s="19">
        <f>'[3]Plan Tron'!F155</f>
        <v>12.02</v>
      </c>
      <c r="I781" s="9">
        <v>26.44</v>
      </c>
      <c r="J781" s="9">
        <f>ROUND(H781*(I781/100+1),2)</f>
        <v>15.2</v>
      </c>
      <c r="K781" s="383">
        <v>0</v>
      </c>
      <c r="L781" s="474">
        <f>F781-K781</f>
        <v>289.42</v>
      </c>
      <c r="M781" s="471">
        <f t="shared" si="84"/>
        <v>4399.18</v>
      </c>
      <c r="N781" s="405"/>
      <c r="O781" s="541"/>
      <c r="P781" s="405"/>
      <c r="Q781" s="405"/>
      <c r="S781" s="344" t="str">
        <f t="shared" si="83"/>
        <v xml:space="preserve">SERVENTE </v>
      </c>
    </row>
    <row r="782" spans="1:19" s="344" customFormat="1">
      <c r="A782" s="410" t="s">
        <v>16</v>
      </c>
      <c r="B782" s="411"/>
      <c r="C782" s="410"/>
      <c r="D782" s="434" t="s">
        <v>2100</v>
      </c>
      <c r="E782" s="24"/>
      <c r="F782" s="21"/>
      <c r="G782" s="9"/>
      <c r="H782" s="9"/>
      <c r="I782" s="9"/>
      <c r="J782" s="9"/>
      <c r="K782" s="383"/>
      <c r="L782" s="474"/>
      <c r="M782" s="471"/>
      <c r="N782" s="405"/>
      <c r="O782" s="541"/>
      <c r="P782" s="405"/>
      <c r="Q782" s="405"/>
      <c r="S782" s="344" t="str">
        <f t="shared" si="83"/>
        <v>COMPACTAÇÃO OU APILOAMENTO</v>
      </c>
    </row>
    <row r="783" spans="1:19" s="344" customFormat="1" ht="25.5">
      <c r="A783" s="49" t="s">
        <v>270</v>
      </c>
      <c r="B783" s="49">
        <f>'[3]Plan Tron'!B89</f>
        <v>94098</v>
      </c>
      <c r="C783" s="49" t="str">
        <f>'[3]Plan Tron'!C89</f>
        <v>SINAPI</v>
      </c>
      <c r="D783" s="84" t="str">
        <f>'[3]Plan Tron'!D89</f>
        <v>PREPARO DE FUNDO DE VALA COM LARGURA MENOR QUE 1,5 M, EM LOCAL COM NÍVEL ALTO DE INTERFERÊNCIA. AF_06/2016</v>
      </c>
      <c r="E783" s="77" t="str">
        <f>'[3]Plan Tron'!E89</f>
        <v>M²</v>
      </c>
      <c r="F783" s="21">
        <v>45.6</v>
      </c>
      <c r="G783" s="9">
        <v>3.24</v>
      </c>
      <c r="H783" s="9">
        <f>'[3]Plan Tron'!F89</f>
        <v>5.53</v>
      </c>
      <c r="I783" s="9">
        <v>26.44</v>
      </c>
      <c r="J783" s="9">
        <f>ROUND(H783*(I783/100+1),2)</f>
        <v>6.99</v>
      </c>
      <c r="K783" s="383">
        <v>0</v>
      </c>
      <c r="L783" s="474">
        <f>F783-K783</f>
        <v>45.6</v>
      </c>
      <c r="M783" s="471">
        <f t="shared" si="84"/>
        <v>318.74</v>
      </c>
      <c r="N783" s="405"/>
      <c r="O783" s="541"/>
      <c r="P783" s="405"/>
      <c r="Q783" s="405"/>
      <c r="S783" s="344" t="str">
        <f t="shared" si="83"/>
        <v>PREPARO DE FUNDO DE VALA COM LARGURA MENOR QUE 1,5 M, EM LOCAL COM NÍVEL ALTO DE INTERFERÊNCIA. AF_06/2016</v>
      </c>
    </row>
    <row r="784" spans="1:19" s="344" customFormat="1">
      <c r="A784" s="49" t="s">
        <v>369</v>
      </c>
      <c r="B784" s="49">
        <f>'[3]Plan Tron'!B102</f>
        <v>79472</v>
      </c>
      <c r="C784" s="49" t="str">
        <f>'[3]Plan Tron'!C102</f>
        <v>SINAPI</v>
      </c>
      <c r="D784" s="84" t="str">
        <f>'[3]Plan Tron'!D102</f>
        <v xml:space="preserve">REGULARIZACAO DE SUPERFICIES EM TERRA COM MOTONIVELADORA </v>
      </c>
      <c r="E784" s="77" t="str">
        <f>'[3]Plan Tron'!E102</f>
        <v>M²</v>
      </c>
      <c r="F784" s="21">
        <v>126.39</v>
      </c>
      <c r="G784" s="9">
        <v>0.37</v>
      </c>
      <c r="H784" s="9">
        <f>'[3]Plan Tron'!F102</f>
        <v>0.46</v>
      </c>
      <c r="I784" s="9">
        <v>26.44</v>
      </c>
      <c r="J784" s="9">
        <f>ROUND(H784*(I784/100+1),2)</f>
        <v>0.57999999999999996</v>
      </c>
      <c r="K784" s="383">
        <v>0</v>
      </c>
      <c r="L784" s="474">
        <f>F784-K784</f>
        <v>126.39</v>
      </c>
      <c r="M784" s="471">
        <f t="shared" si="84"/>
        <v>73.31</v>
      </c>
      <c r="N784" s="405"/>
      <c r="O784" s="541"/>
      <c r="P784" s="405"/>
      <c r="Q784" s="405"/>
      <c r="S784" s="344" t="str">
        <f t="shared" si="83"/>
        <v xml:space="preserve">REGULARIZACAO DE SUPERFICIES EM TERRA COM MOTONIVELADORA </v>
      </c>
    </row>
    <row r="785" spans="1:19" s="344" customFormat="1">
      <c r="A785" s="49"/>
      <c r="B785" s="17"/>
      <c r="C785" s="49"/>
      <c r="D785" s="17"/>
      <c r="E785" s="7"/>
      <c r="F785" s="10"/>
      <c r="G785" s="27"/>
      <c r="H785" s="27"/>
      <c r="I785" s="9"/>
      <c r="J785" s="9"/>
      <c r="K785" s="17"/>
      <c r="L785" s="474"/>
      <c r="M785" s="472"/>
      <c r="N785" s="405"/>
      <c r="O785" s="541"/>
      <c r="P785" s="405"/>
      <c r="Q785" s="405"/>
    </row>
    <row r="786" spans="1:19" s="344" customFormat="1">
      <c r="A786" s="49"/>
      <c r="B786" s="17"/>
      <c r="C786" s="49"/>
      <c r="D786" s="53" t="s">
        <v>76</v>
      </c>
      <c r="E786" s="7"/>
      <c r="F786" s="10"/>
      <c r="G786" s="27"/>
      <c r="H786" s="27"/>
      <c r="I786" s="9"/>
      <c r="J786" s="9"/>
      <c r="K786" s="383"/>
      <c r="L786" s="474"/>
      <c r="M786" s="471"/>
      <c r="N786" s="405"/>
      <c r="O786" s="541"/>
      <c r="P786" s="405"/>
      <c r="Q786" s="405"/>
      <c r="S786" s="344" t="str">
        <f t="shared" ref="S786:S812" si="85">UPPER(D786)</f>
        <v/>
      </c>
    </row>
    <row r="787" spans="1:19" s="344" customFormat="1">
      <c r="A787" s="45">
        <v>2</v>
      </c>
      <c r="B787" s="23"/>
      <c r="C787" s="45"/>
      <c r="D787" s="399" t="s">
        <v>2054</v>
      </c>
      <c r="E787" s="24"/>
      <c r="F787" s="21"/>
      <c r="G787" s="9"/>
      <c r="H787" s="9"/>
      <c r="I787" s="9"/>
      <c r="J787" s="9"/>
      <c r="K787" s="383"/>
      <c r="L787" s="474"/>
      <c r="M787" s="471"/>
      <c r="N787" s="405"/>
      <c r="O787" s="541"/>
      <c r="P787" s="405"/>
      <c r="Q787" s="405"/>
      <c r="S787" s="344" t="str">
        <f t="shared" si="85"/>
        <v>FUNDAÇÕES E ESTRUTURAS</v>
      </c>
    </row>
    <row r="788" spans="1:19" s="414" customFormat="1">
      <c r="A788" s="410" t="s">
        <v>9</v>
      </c>
      <c r="B788" s="425"/>
      <c r="C788" s="410"/>
      <c r="D788" s="426" t="s">
        <v>2112</v>
      </c>
      <c r="E788" s="424"/>
      <c r="F788" s="422"/>
      <c r="G788" s="412"/>
      <c r="H788" s="412"/>
      <c r="I788" s="412"/>
      <c r="J788" s="412"/>
      <c r="K788" s="498"/>
      <c r="L788" s="474"/>
      <c r="M788" s="471"/>
      <c r="N788" s="419"/>
      <c r="O788" s="541"/>
      <c r="P788" s="419"/>
      <c r="Q788" s="419"/>
      <c r="S788" s="414" t="str">
        <f t="shared" si="85"/>
        <v>ESTACAS</v>
      </c>
    </row>
    <row r="789" spans="1:19" s="414" customFormat="1">
      <c r="A789" s="410" t="s">
        <v>348</v>
      </c>
      <c r="B789" s="425"/>
      <c r="C789" s="410"/>
      <c r="D789" s="426" t="s">
        <v>2217</v>
      </c>
      <c r="E789" s="424"/>
      <c r="F789" s="422"/>
      <c r="G789" s="412"/>
      <c r="H789" s="412"/>
      <c r="I789" s="412"/>
      <c r="J789" s="412"/>
      <c r="K789" s="498"/>
      <c r="L789" s="474"/>
      <c r="M789" s="471"/>
      <c r="N789" s="419"/>
      <c r="O789" s="541"/>
      <c r="P789" s="419"/>
      <c r="Q789" s="419"/>
      <c r="S789" s="414" t="str">
        <f t="shared" si="85"/>
        <v>ESTACA ESCAVADA</v>
      </c>
    </row>
    <row r="790" spans="1:19" s="344" customFormat="1" ht="25.5">
      <c r="A790" s="49" t="s">
        <v>417</v>
      </c>
      <c r="B790" s="49">
        <f>'[3]Plan Tron'!B73</f>
        <v>90808</v>
      </c>
      <c r="C790" s="49" t="str">
        <f>'[3]Plan Tron'!C73</f>
        <v>SINAPI</v>
      </c>
      <c r="D790" s="63" t="str">
        <f>'[3]Plan Tron'!D73</f>
        <v>ESTACA HÉLICE CONTÍNUA, DIÂMETRO DE 30 CM, COMPRIMENTO TOTAL ATÉ 15 M, PERFURATRIZ COM TORQUE DE 170 KN.M (EXCLUSIVE MOBILIZAÇÃO E DESMOBILIZAÇÃO). AF_02/2015</v>
      </c>
      <c r="E790" s="24" t="str">
        <f>'[3]Plan Tron'!E73</f>
        <v>M</v>
      </c>
      <c r="F790" s="21">
        <v>345</v>
      </c>
      <c r="G790" s="9">
        <v>21</v>
      </c>
      <c r="H790" s="9">
        <f>'[3]Plan Tron'!F73</f>
        <v>59.34</v>
      </c>
      <c r="I790" s="9">
        <v>26.44</v>
      </c>
      <c r="J790" s="9">
        <f>ROUND(H790*(I790/100+1),2)</f>
        <v>75.03</v>
      </c>
      <c r="K790" s="712">
        <v>344.99249999999995</v>
      </c>
      <c r="L790" s="474">
        <f>F790-K790</f>
        <v>7.5000000000500222E-3</v>
      </c>
      <c r="M790" s="471">
        <f t="shared" ref="M790:M853" si="86">ROUND(L790*J790,2)</f>
        <v>0.56000000000000005</v>
      </c>
      <c r="N790" s="405"/>
      <c r="O790" s="541"/>
      <c r="P790" s="405"/>
      <c r="Q790" s="405"/>
      <c r="S790" s="344" t="str">
        <f t="shared" si="85"/>
        <v>ESTACA HÉLICE CONTÍNUA, DIÂMETRO DE 30 CM, COMPRIMENTO TOTAL ATÉ 15 M, PERFURATRIZ COM TORQUE DE 170 KN.M (EXCLUSIVE MOBILIZAÇÃO E DESMOBILIZAÇÃO). AF_02/2015</v>
      </c>
    </row>
    <row r="791" spans="1:19" s="414" customFormat="1">
      <c r="A791" s="410" t="s">
        <v>8</v>
      </c>
      <c r="B791" s="425"/>
      <c r="C791" s="410"/>
      <c r="D791" s="426" t="s">
        <v>2055</v>
      </c>
      <c r="E791" s="424"/>
      <c r="F791" s="422"/>
      <c r="G791" s="412"/>
      <c r="H791" s="412"/>
      <c r="I791" s="412"/>
      <c r="J791" s="412"/>
      <c r="K791" s="498"/>
      <c r="L791" s="474"/>
      <c r="M791" s="471"/>
      <c r="N791" s="419"/>
      <c r="O791" s="541"/>
      <c r="P791" s="419"/>
      <c r="Q791" s="419"/>
      <c r="S791" s="414" t="str">
        <f t="shared" si="85"/>
        <v>LASTROS / FUNDAÇÕES DIRETAS</v>
      </c>
    </row>
    <row r="792" spans="1:19" s="414" customFormat="1">
      <c r="A792" s="410" t="s">
        <v>317</v>
      </c>
      <c r="B792" s="425"/>
      <c r="C792" s="410"/>
      <c r="D792" s="426" t="s">
        <v>2056</v>
      </c>
      <c r="E792" s="424"/>
      <c r="F792" s="422"/>
      <c r="G792" s="412"/>
      <c r="H792" s="412"/>
      <c r="I792" s="412"/>
      <c r="J792" s="412"/>
      <c r="K792" s="498"/>
      <c r="L792" s="474"/>
      <c r="M792" s="471"/>
      <c r="N792" s="419"/>
      <c r="O792" s="541"/>
      <c r="P792" s="419"/>
      <c r="Q792" s="419"/>
      <c r="S792" s="414" t="str">
        <f t="shared" si="85"/>
        <v>LASTRO DE PEDRA BRITADA E FUNDAÇÕES EM BALDRAME.</v>
      </c>
    </row>
    <row r="793" spans="1:19" s="344" customFormat="1">
      <c r="A793" s="49" t="s">
        <v>318</v>
      </c>
      <c r="B793" s="49">
        <f>'[3]Plan Tron'!B18</f>
        <v>6514</v>
      </c>
      <c r="C793" s="49" t="str">
        <f>'[3]Plan Tron'!C18</f>
        <v>SINAPI</v>
      </c>
      <c r="D793" s="63" t="str">
        <f>'[3]Plan Tron'!D18</f>
        <v xml:space="preserve">FORNECIMENTO E LANCAMENTO DE BRITA N. 4 </v>
      </c>
      <c r="E793" s="77" t="str">
        <f>'[3]Plan Tron'!E18</f>
        <v>M³</v>
      </c>
      <c r="F793" s="21">
        <v>7.38</v>
      </c>
      <c r="G793" s="9">
        <f>G78</f>
        <v>74.28</v>
      </c>
      <c r="H793" s="9">
        <f>'[3]Plan Tron'!F18</f>
        <v>88.38</v>
      </c>
      <c r="I793" s="9">
        <v>26.44</v>
      </c>
      <c r="J793" s="9">
        <f>ROUND(H793*(I793/100+1),2)</f>
        <v>111.75</v>
      </c>
      <c r="K793" s="383">
        <v>3.56</v>
      </c>
      <c r="L793" s="474">
        <f>F793-K793</f>
        <v>3.82</v>
      </c>
      <c r="M793" s="471">
        <f t="shared" si="86"/>
        <v>426.89</v>
      </c>
      <c r="N793" s="405"/>
      <c r="O793" s="541"/>
      <c r="P793" s="405"/>
      <c r="Q793" s="405"/>
      <c r="S793" s="344" t="str">
        <f t="shared" si="85"/>
        <v xml:space="preserve">FORNECIMENTO E LANCAMENTO DE BRITA N. 4 </v>
      </c>
    </row>
    <row r="794" spans="1:19" s="414" customFormat="1">
      <c r="A794" s="410"/>
      <c r="B794" s="425"/>
      <c r="C794" s="410"/>
      <c r="D794" s="426" t="s">
        <v>76</v>
      </c>
      <c r="E794" s="424"/>
      <c r="F794" s="422"/>
      <c r="G794" s="412"/>
      <c r="H794" s="412"/>
      <c r="I794" s="412"/>
      <c r="J794" s="412"/>
      <c r="K794" s="498"/>
      <c r="L794" s="474"/>
      <c r="M794" s="471"/>
      <c r="N794" s="419"/>
      <c r="O794" s="541"/>
      <c r="P794" s="419"/>
      <c r="Q794" s="419"/>
      <c r="S794" s="414" t="str">
        <f t="shared" si="85"/>
        <v/>
      </c>
    </row>
    <row r="795" spans="1:19" s="414" customFormat="1">
      <c r="A795" s="410" t="s">
        <v>7</v>
      </c>
      <c r="B795" s="646"/>
      <c r="C795" s="410"/>
      <c r="D795" s="647" t="s">
        <v>2058</v>
      </c>
      <c r="E795" s="648"/>
      <c r="F795" s="649"/>
      <c r="G795" s="412"/>
      <c r="H795" s="412"/>
      <c r="I795" s="412"/>
      <c r="J795" s="412"/>
      <c r="K795" s="498"/>
      <c r="L795" s="474"/>
      <c r="M795" s="471"/>
      <c r="N795" s="419"/>
      <c r="O795" s="541"/>
      <c r="P795" s="419"/>
      <c r="Q795" s="419"/>
      <c r="S795" s="414" t="str">
        <f t="shared" si="85"/>
        <v>FORMAS / CIMBRAMENTOS / ESCORAMENTOS</v>
      </c>
    </row>
    <row r="796" spans="1:19" s="344" customFormat="1">
      <c r="A796" s="49" t="s">
        <v>314</v>
      </c>
      <c r="B796" s="49">
        <f>'[3]Plan Tron'!B20</f>
        <v>5651</v>
      </c>
      <c r="C796" s="49" t="str">
        <f>'[3]Plan Tron'!C20</f>
        <v>SINAPI</v>
      </c>
      <c r="D796" s="115" t="str">
        <f>'[3]Plan Tron'!D20</f>
        <v>FORMA DE MADEIRA COMUM PARA FUNDAÇÕES - REAPROVEITAMENTO 5X.</v>
      </c>
      <c r="E796" s="675" t="str">
        <f>'[3]Plan Tron'!E20</f>
        <v>M²</v>
      </c>
      <c r="F796" s="21">
        <v>166.51</v>
      </c>
      <c r="G796" s="9">
        <v>22.96</v>
      </c>
      <c r="H796" s="9">
        <f>'[3]Plan Tron'!F20</f>
        <v>29.01</v>
      </c>
      <c r="I796" s="9">
        <v>26.44</v>
      </c>
      <c r="J796" s="9">
        <f>ROUND(H796*(I796/100+1),2)</f>
        <v>36.68</v>
      </c>
      <c r="K796" s="383">
        <v>148.94</v>
      </c>
      <c r="L796" s="474">
        <f>F796-K796</f>
        <v>17.569999999999993</v>
      </c>
      <c r="M796" s="471">
        <f t="shared" si="86"/>
        <v>644.47</v>
      </c>
      <c r="N796" s="405"/>
      <c r="O796" s="541"/>
      <c r="P796" s="405"/>
      <c r="Q796" s="405"/>
      <c r="S796" s="344" t="str">
        <f t="shared" si="85"/>
        <v>FORMA DE MADEIRA COMUM PARA FUNDAÇÕES - REAPROVEITAMENTO 5X.</v>
      </c>
    </row>
    <row r="797" spans="1:19" s="344" customFormat="1" ht="25.5">
      <c r="A797" s="49" t="s">
        <v>347</v>
      </c>
      <c r="B797" s="49" t="str">
        <f>'[3]Plan Tron'!B74</f>
        <v xml:space="preserve">92264 </v>
      </c>
      <c r="C797" s="49" t="str">
        <f>'[3]Plan Tron'!C74</f>
        <v>SINAPI</v>
      </c>
      <c r="D797" s="63" t="str">
        <f>'[3]Plan Tron'!D74</f>
        <v>FABRICAÇÃO DE FÔRMA PARA PILARES E ESTRUTURAS SIMILARES, EM CHAPA DE MADEIRA COMPENSADA PLASTIFICADA, E = 18 MM. AF_12/2015</v>
      </c>
      <c r="E797" s="34" t="str">
        <f>'[3]Plan Tron'!E74</f>
        <v>M²</v>
      </c>
      <c r="F797" s="21">
        <v>215.98</v>
      </c>
      <c r="G797" s="9">
        <v>32.619999999999997</v>
      </c>
      <c r="H797" s="9">
        <f>'[3]Plan Tron'!F74</f>
        <v>99.07</v>
      </c>
      <c r="I797" s="9">
        <v>26.44</v>
      </c>
      <c r="J797" s="9">
        <f t="shared" ref="J797:J812" si="87">ROUND(H797*(I797/100+1),2)</f>
        <v>125.26</v>
      </c>
      <c r="K797" s="383">
        <v>0</v>
      </c>
      <c r="L797" s="474">
        <f>F797-K797</f>
        <v>215.98</v>
      </c>
      <c r="M797" s="471">
        <f t="shared" si="86"/>
        <v>27053.65</v>
      </c>
      <c r="N797" s="405"/>
      <c r="O797" s="541"/>
      <c r="P797" s="405"/>
      <c r="Q797" s="405"/>
      <c r="S797" s="344" t="str">
        <f t="shared" si="85"/>
        <v>FABRICAÇÃO DE FÔRMA PARA PILARES E ESTRUTURAS SIMILARES, EM CHAPA DE MADEIRA COMPENSADA PLASTIFICADA, E = 18 MM. AF_12/2015</v>
      </c>
    </row>
    <row r="798" spans="1:19" s="344" customFormat="1">
      <c r="A798" s="49" t="s">
        <v>945</v>
      </c>
      <c r="B798" s="49" t="str">
        <f>'[3]Plan Tron'!B66</f>
        <v xml:space="preserve">080202 </v>
      </c>
      <c r="C798" s="49" t="str">
        <f>'[3]Plan Tron'!C66</f>
        <v>CPOS</v>
      </c>
      <c r="D798" s="137" t="str">
        <f>'[3]Plan Tron'!D66</f>
        <v>CIMBRAMENTO EM MADEIRA COM ESTRONCAS DE EUCALIPTO</v>
      </c>
      <c r="E798" s="34" t="str">
        <f>'[3]Plan Tron'!E66</f>
        <v>M³</v>
      </c>
      <c r="F798" s="21">
        <v>482.6</v>
      </c>
      <c r="G798" s="9">
        <v>25.02</v>
      </c>
      <c r="H798" s="9">
        <f>'[3]Plan Tron'!F66</f>
        <v>27.46</v>
      </c>
      <c r="I798" s="9">
        <v>26.44</v>
      </c>
      <c r="J798" s="9">
        <f t="shared" si="87"/>
        <v>34.72</v>
      </c>
      <c r="K798" s="383">
        <v>0</v>
      </c>
      <c r="L798" s="474">
        <f>F798-K798</f>
        <v>482.6</v>
      </c>
      <c r="M798" s="471">
        <f t="shared" si="86"/>
        <v>16755.87</v>
      </c>
      <c r="N798" s="405"/>
      <c r="O798" s="541"/>
      <c r="P798" s="405"/>
      <c r="Q798" s="405"/>
      <c r="S798" s="344" t="str">
        <f t="shared" si="85"/>
        <v>CIMBRAMENTO EM MADEIRA COM ESTRONCAS DE EUCALIPTO</v>
      </c>
    </row>
    <row r="799" spans="1:19" s="414" customFormat="1">
      <c r="A799" s="410" t="s">
        <v>6</v>
      </c>
      <c r="B799" s="425"/>
      <c r="C799" s="410"/>
      <c r="D799" s="426" t="s">
        <v>2059</v>
      </c>
      <c r="E799" s="421"/>
      <c r="F799" s="423"/>
      <c r="G799" s="412"/>
      <c r="H799" s="412"/>
      <c r="I799" s="412"/>
      <c r="J799" s="9"/>
      <c r="K799" s="498"/>
      <c r="L799" s="474"/>
      <c r="M799" s="471"/>
      <c r="N799" s="419"/>
      <c r="O799" s="541"/>
      <c r="P799" s="419"/>
      <c r="Q799" s="419"/>
      <c r="S799" s="414" t="str">
        <f t="shared" si="85"/>
        <v>ARMADURAS</v>
      </c>
    </row>
    <row r="800" spans="1:19" s="414" customFormat="1">
      <c r="A800" s="410" t="s">
        <v>311</v>
      </c>
      <c r="B800" s="425"/>
      <c r="C800" s="410"/>
      <c r="D800" s="426" t="s">
        <v>2060</v>
      </c>
      <c r="E800" s="421"/>
      <c r="F800" s="623"/>
      <c r="G800" s="412"/>
      <c r="H800" s="412"/>
      <c r="I800" s="412"/>
      <c r="J800" s="9"/>
      <c r="K800" s="498"/>
      <c r="L800" s="474"/>
      <c r="M800" s="471"/>
      <c r="N800" s="419"/>
      <c r="O800" s="541"/>
      <c r="P800" s="419"/>
      <c r="Q800" s="419"/>
      <c r="S800" s="414" t="str">
        <f t="shared" si="85"/>
        <v>ARMAÇÃO EM AÇO CA-50 PARA ESTRUTURAS DE CONCRETO.</v>
      </c>
    </row>
    <row r="801" spans="1:19" s="344" customFormat="1" ht="25.5">
      <c r="A801" s="49" t="s">
        <v>310</v>
      </c>
      <c r="B801" s="49">
        <f>'[3]Plan Tron'!B21</f>
        <v>92761</v>
      </c>
      <c r="C801" s="49" t="str">
        <f>'[3]Plan Tron'!C21</f>
        <v>SINAPI</v>
      </c>
      <c r="D801" s="63" t="str">
        <f>'[3]Plan Tron'!D21</f>
        <v>ARMAÇÃO DE PILAR OU VIGA DE UMA ESTRUTURA CONVENCIONAL DE CONCRETO ARMADO EM UM EDIFÍCIO DE MÚLTIPLOS PAVIMENTOS UTILIZANDO AÇO CA-50 DE 8.0MM - MONTAGEM. AF_12/2015</v>
      </c>
      <c r="E801" s="672" t="str">
        <f>'[3]Plan Tron'!E21</f>
        <v>KG</v>
      </c>
      <c r="F801" s="21">
        <v>2876.62</v>
      </c>
      <c r="G801" s="9">
        <f>G85</f>
        <v>5.9</v>
      </c>
      <c r="H801" s="9">
        <f>'[3]Plan Tron'!F21</f>
        <v>9.44</v>
      </c>
      <c r="I801" s="9">
        <v>26.44</v>
      </c>
      <c r="J801" s="9">
        <f t="shared" si="87"/>
        <v>11.94</v>
      </c>
      <c r="K801" s="474">
        <v>1725.972</v>
      </c>
      <c r="L801" s="474">
        <f>F801-K801</f>
        <v>1150.6479999999999</v>
      </c>
      <c r="M801" s="471">
        <f t="shared" si="86"/>
        <v>13738.74</v>
      </c>
      <c r="N801" s="405"/>
      <c r="O801" s="541"/>
      <c r="P801" s="405"/>
      <c r="Q801" s="405"/>
      <c r="S801" s="344" t="str">
        <f t="shared" si="85"/>
        <v>ARMAÇÃO DE PILAR OU VIGA DE UMA ESTRUTURA CONVENCIONAL DE CONCRETO ARMADO EM UM EDIFÍCIO DE MÚLTIPLOS PAVIMENTOS UTILIZANDO AÇO CA-50 DE 8.0MM - MONTAGEM. AF_12/2015</v>
      </c>
    </row>
    <row r="802" spans="1:19" s="344" customFormat="1">
      <c r="A802" s="49" t="s">
        <v>309</v>
      </c>
      <c r="B802" s="49">
        <f>'[3]Plan Tron'!B91</f>
        <v>92765</v>
      </c>
      <c r="C802" s="49" t="str">
        <f>'[3]Plan Tron'!C91</f>
        <v>SINAPI</v>
      </c>
      <c r="D802" s="63">
        <v>10</v>
      </c>
      <c r="E802" s="672" t="s">
        <v>2406</v>
      </c>
      <c r="F802" s="21">
        <v>3132.5</v>
      </c>
      <c r="G802" s="9">
        <v>6.66</v>
      </c>
      <c r="H802" s="9">
        <f>'[3]Plan Tron'!F91</f>
        <v>4.32</v>
      </c>
      <c r="I802" s="9">
        <v>26.44</v>
      </c>
      <c r="J802" s="9">
        <f t="shared" si="87"/>
        <v>5.46</v>
      </c>
      <c r="K802" s="383">
        <v>1566.25</v>
      </c>
      <c r="L802" s="474">
        <f>F802-K802</f>
        <v>1566.25</v>
      </c>
      <c r="M802" s="471">
        <f t="shared" si="86"/>
        <v>8551.73</v>
      </c>
      <c r="N802" s="405"/>
      <c r="O802" s="541"/>
      <c r="P802" s="405"/>
      <c r="Q802" s="405"/>
      <c r="S802" s="344" t="str">
        <f t="shared" si="85"/>
        <v>10</v>
      </c>
    </row>
    <row r="803" spans="1:19" s="414" customFormat="1">
      <c r="A803" s="410" t="s">
        <v>5</v>
      </c>
      <c r="B803" s="646"/>
      <c r="C803" s="410"/>
      <c r="D803" s="647" t="s">
        <v>2061</v>
      </c>
      <c r="E803" s="648"/>
      <c r="F803" s="649"/>
      <c r="G803" s="412"/>
      <c r="H803" s="412"/>
      <c r="I803" s="412"/>
      <c r="J803" s="9"/>
      <c r="K803" s="498"/>
      <c r="L803" s="474"/>
      <c r="M803" s="471"/>
      <c r="N803" s="419"/>
      <c r="O803" s="541"/>
      <c r="P803" s="419"/>
      <c r="Q803" s="419"/>
      <c r="S803" s="414" t="str">
        <f t="shared" si="85"/>
        <v>CONCRETOS</v>
      </c>
    </row>
    <row r="804" spans="1:19" s="414" customFormat="1">
      <c r="A804" s="410" t="s">
        <v>346</v>
      </c>
      <c r="B804" s="425"/>
      <c r="C804" s="410"/>
      <c r="D804" s="426" t="s">
        <v>2062</v>
      </c>
      <c r="E804" s="421"/>
      <c r="F804" s="623"/>
      <c r="G804" s="412"/>
      <c r="H804" s="412"/>
      <c r="I804" s="412"/>
      <c r="J804" s="9"/>
      <c r="K804" s="498"/>
      <c r="L804" s="474"/>
      <c r="M804" s="471"/>
      <c r="N804" s="419"/>
      <c r="O804" s="541"/>
      <c r="P804" s="419"/>
      <c r="Q804" s="419"/>
      <c r="S804" s="414" t="str">
        <f t="shared" si="85"/>
        <v>CONCRETO BOMBEADO</v>
      </c>
    </row>
    <row r="805" spans="1:19" s="344" customFormat="1">
      <c r="A805" s="49" t="s">
        <v>345</v>
      </c>
      <c r="B805" s="49">
        <f>'[3]Plan Tron'!B27</f>
        <v>110132</v>
      </c>
      <c r="C805" s="49" t="str">
        <f>'[3]Plan Tron'!C27</f>
        <v>CPOS</v>
      </c>
      <c r="D805" s="63" t="str">
        <f>'[3]Plan Tron'!D27</f>
        <v xml:space="preserve">CONCRETO USINADO, FCK=30MPa - PARA BOMBEAMENTO </v>
      </c>
      <c r="E805" s="672" t="str">
        <f>'[3]Plan Tron'!E27</f>
        <v>M³</v>
      </c>
      <c r="F805" s="21">
        <v>42.42</v>
      </c>
      <c r="G805" s="9">
        <v>336.65</v>
      </c>
      <c r="H805" s="9">
        <f>'[3]Plan Tron'!F27</f>
        <v>311.94</v>
      </c>
      <c r="I805" s="9">
        <v>26.44</v>
      </c>
      <c r="J805" s="9">
        <f t="shared" si="87"/>
        <v>394.42</v>
      </c>
      <c r="K805" s="474">
        <v>31.45673742</v>
      </c>
      <c r="L805" s="474">
        <f>F805-K805</f>
        <v>10.963262580000002</v>
      </c>
      <c r="M805" s="471">
        <f t="shared" si="86"/>
        <v>4324.13</v>
      </c>
      <c r="N805" s="405"/>
      <c r="O805" s="541"/>
      <c r="P805" s="405"/>
      <c r="Q805" s="405"/>
      <c r="S805" s="344" t="str">
        <f t="shared" si="85"/>
        <v xml:space="preserve">CONCRETO USINADO, FCK=30MPA - PARA BOMBEAMENTO </v>
      </c>
    </row>
    <row r="806" spans="1:19" s="344" customFormat="1" hidden="1">
      <c r="A806" s="49" t="s">
        <v>344</v>
      </c>
      <c r="B806" s="49">
        <f>'[3]Plan Tron'!B26</f>
        <v>110135</v>
      </c>
      <c r="C806" s="49" t="str">
        <f>'[3]Plan Tron'!C26</f>
        <v>CPOS</v>
      </c>
      <c r="D806" s="63" t="str">
        <f>UPPER('[3]Plan Tron'!D26)</f>
        <v xml:space="preserve">CONCRETO USINADO, FCK = 40,0 MPA - PARA BOMBEAMENTO </v>
      </c>
      <c r="E806" s="672" t="str">
        <f>'[3]Plan Tron'!E26</f>
        <v>M³</v>
      </c>
      <c r="F806" s="21">
        <v>12.96</v>
      </c>
      <c r="G806" s="9">
        <v>357.28</v>
      </c>
      <c r="H806" s="9">
        <f>'[3]Plan Tron'!F26</f>
        <v>351.18</v>
      </c>
      <c r="I806" s="9">
        <v>26.44</v>
      </c>
      <c r="J806" s="9">
        <f t="shared" si="87"/>
        <v>444.03</v>
      </c>
      <c r="K806" s="383">
        <v>24.38</v>
      </c>
      <c r="L806" s="474">
        <f>F806-K806</f>
        <v>-11.419999999999998</v>
      </c>
      <c r="M806" s="471"/>
      <c r="N806" s="405"/>
      <c r="O806" s="541"/>
      <c r="P806" s="405"/>
      <c r="Q806" s="405"/>
      <c r="S806" s="344" t="str">
        <f t="shared" si="85"/>
        <v xml:space="preserve">CONCRETO USINADO, FCK = 40,0 MPA - PARA BOMBEAMENTO </v>
      </c>
    </row>
    <row r="807" spans="1:19" s="414" customFormat="1" ht="25.5">
      <c r="A807" s="410" t="s">
        <v>706</v>
      </c>
      <c r="B807" s="425"/>
      <c r="C807" s="410"/>
      <c r="D807" s="426" t="s">
        <v>2063</v>
      </c>
      <c r="E807" s="421"/>
      <c r="F807" s="623"/>
      <c r="G807" s="412"/>
      <c r="H807" s="412"/>
      <c r="I807" s="412"/>
      <c r="J807" s="9"/>
      <c r="K807" s="498"/>
      <c r="L807" s="474"/>
      <c r="M807" s="471"/>
      <c r="N807" s="419"/>
      <c r="O807" s="541"/>
      <c r="P807" s="419"/>
      <c r="Q807" s="419"/>
      <c r="S807" s="414" t="str">
        <f t="shared" si="85"/>
        <v>CONCRETOS - INCLUI FORNECIMENTO, LANÇAMENTO NAS FORMAS, ADENSAMENTO, DESEMPENO E PREPARO DAS JUNTAS DE CONCRETAGEM.</v>
      </c>
    </row>
    <row r="808" spans="1:19" s="344" customFormat="1">
      <c r="A808" s="49" t="s">
        <v>1137</v>
      </c>
      <c r="B808" s="49">
        <f>'[3]Plan Tron'!B28</f>
        <v>89995</v>
      </c>
      <c r="C808" s="49" t="str">
        <f>'[3]Plan Tron'!C28</f>
        <v>SINAPI</v>
      </c>
      <c r="D808" s="63" t="str">
        <f>'[3]Plan Tron'!D28</f>
        <v>GRAUTEAMENTO DE CINTA SUPERIOR OU DE VERGA EM ALVENARIA ESTRUTURAL. AF_01/2015</v>
      </c>
      <c r="E808" s="672" t="str">
        <f>'[3]Plan Tron'!E28</f>
        <v>M³</v>
      </c>
      <c r="F808" s="21">
        <v>1.5</v>
      </c>
      <c r="G808" s="9">
        <v>371.86</v>
      </c>
      <c r="H808" s="9">
        <f>'[3]Plan Tron'!F28</f>
        <v>553.45000000000005</v>
      </c>
      <c r="I808" s="9">
        <v>26.44</v>
      </c>
      <c r="J808" s="9">
        <f t="shared" si="87"/>
        <v>699.78</v>
      </c>
      <c r="K808" s="383"/>
      <c r="L808" s="474">
        <f>F808-K808</f>
        <v>1.5</v>
      </c>
      <c r="M808" s="471">
        <f t="shared" si="86"/>
        <v>1049.67</v>
      </c>
      <c r="N808" s="405"/>
      <c r="O808" s="541"/>
      <c r="P808" s="405"/>
      <c r="Q808" s="405"/>
      <c r="S808" s="344" t="str">
        <f t="shared" si="85"/>
        <v>GRAUTEAMENTO DE CINTA SUPERIOR OU DE VERGA EM ALVENARIA ESTRUTURAL. AF_01/2015</v>
      </c>
    </row>
    <row r="809" spans="1:19" s="344" customFormat="1">
      <c r="A809" s="49" t="s">
        <v>943</v>
      </c>
      <c r="B809" s="49">
        <f>'[3]Plan Tron'!B23</f>
        <v>110404</v>
      </c>
      <c r="C809" s="49" t="str">
        <f>'[3]Plan Tron'!C23</f>
        <v>CPOS</v>
      </c>
      <c r="D809" s="137" t="str">
        <f>UPPER('[3]Plan Tron'!D23)</f>
        <v>CONCRETO NÃO ESTRUTURAL EXECUTADO NO LOCAL, MÍNIMO 200 KG CIMENTO / M³</v>
      </c>
      <c r="E809" s="672" t="str">
        <f>'[3]Plan Tron'!E23</f>
        <v>M³</v>
      </c>
      <c r="F809" s="21">
        <v>15.23</v>
      </c>
      <c r="G809" s="9">
        <v>238.25</v>
      </c>
      <c r="H809" s="9">
        <f>'[3]Plan Tron'!F23</f>
        <v>231.91</v>
      </c>
      <c r="I809" s="9">
        <v>26.44</v>
      </c>
      <c r="J809" s="9">
        <f t="shared" si="87"/>
        <v>293.23</v>
      </c>
      <c r="K809" s="383">
        <v>0</v>
      </c>
      <c r="L809" s="474">
        <f>F809-K809</f>
        <v>15.23</v>
      </c>
      <c r="M809" s="471">
        <f t="shared" si="86"/>
        <v>4465.8900000000003</v>
      </c>
      <c r="N809" s="405"/>
      <c r="O809" s="541"/>
      <c r="P809" s="405"/>
      <c r="Q809" s="405"/>
      <c r="S809" s="344" t="str">
        <f t="shared" si="85"/>
        <v>CONCRETO NÃO ESTRUTURAL EXECUTADO NO LOCAL, MÍNIMO 200 KG CIMENTO / M³</v>
      </c>
    </row>
    <row r="810" spans="1:19" s="414" customFormat="1">
      <c r="A810" s="410" t="s">
        <v>4</v>
      </c>
      <c r="B810" s="425"/>
      <c r="C810" s="410"/>
      <c r="D810" s="426" t="s">
        <v>2173</v>
      </c>
      <c r="E810" s="640"/>
      <c r="F810" s="422"/>
      <c r="G810" s="412"/>
      <c r="H810" s="412"/>
      <c r="I810" s="412"/>
      <c r="J810" s="9"/>
      <c r="K810" s="498"/>
      <c r="L810" s="474"/>
      <c r="M810" s="471"/>
      <c r="N810" s="419"/>
      <c r="O810" s="541"/>
      <c r="P810" s="419"/>
      <c r="Q810" s="419"/>
      <c r="S810" s="414" t="str">
        <f t="shared" si="85"/>
        <v>LAJE PRÉ-FABRICADA</v>
      </c>
    </row>
    <row r="811" spans="1:19" s="414" customFormat="1">
      <c r="A811" s="410" t="s">
        <v>702</v>
      </c>
      <c r="B811" s="425"/>
      <c r="C811" s="410"/>
      <c r="D811" s="426" t="s">
        <v>2174</v>
      </c>
      <c r="E811" s="640"/>
      <c r="F811" s="422"/>
      <c r="G811" s="412"/>
      <c r="H811" s="412"/>
      <c r="I811" s="412"/>
      <c r="J811" s="9"/>
      <c r="K811" s="498"/>
      <c r="L811" s="474"/>
      <c r="M811" s="471"/>
      <c r="N811" s="419"/>
      <c r="O811" s="541"/>
      <c r="P811" s="419"/>
      <c r="Q811" s="419"/>
      <c r="S811" s="414" t="str">
        <f t="shared" si="85"/>
        <v>LAJE PRÉ-MOLDADA</v>
      </c>
    </row>
    <row r="812" spans="1:19" s="344" customFormat="1" ht="25.5">
      <c r="A812" s="49" t="s">
        <v>937</v>
      </c>
      <c r="B812" s="49" t="str">
        <f>'[3]Plan Tron'!B156</f>
        <v xml:space="preserve">74202/001 </v>
      </c>
      <c r="C812" s="49" t="str">
        <f>'[3]Plan Tron'!C156</f>
        <v>SINAPI</v>
      </c>
      <c r="D812" s="63" t="str">
        <f>'[3]Plan Tron'!D156</f>
        <v>LAJE PRE-MOLDADA P/FORRO, SOBRECARGA 100KG/M2, VAOS ATE 3,50M/E=8CM, C/LAJOTAS E CAP.C/CONC FCK=20MPA, 3CM, INTER-EIXO 38CM, C/ESCORAMENTO (REAPR.3X) E FERRAGEM NEGATIVA</v>
      </c>
      <c r="E812" s="672" t="str">
        <f>'[3]Plan Tron'!E156</f>
        <v>M²</v>
      </c>
      <c r="F812" s="21">
        <v>79.09</v>
      </c>
      <c r="G812" s="9">
        <v>57.21</v>
      </c>
      <c r="H812" s="9">
        <f>'[3]Plan Tron'!F156</f>
        <v>59.9</v>
      </c>
      <c r="I812" s="9">
        <v>26.44</v>
      </c>
      <c r="J812" s="9">
        <f t="shared" si="87"/>
        <v>75.739999999999995</v>
      </c>
      <c r="K812" s="383">
        <v>0</v>
      </c>
      <c r="L812" s="474">
        <f>F812-K812</f>
        <v>79.09</v>
      </c>
      <c r="M812" s="471">
        <f t="shared" si="86"/>
        <v>5990.28</v>
      </c>
      <c r="N812" s="405"/>
      <c r="O812" s="541"/>
      <c r="P812" s="405"/>
      <c r="Q812" s="405"/>
      <c r="S812" s="344" t="str">
        <f t="shared" si="85"/>
        <v>LAJE PRE-MOLDADA P/FORRO, SOBRECARGA 100KG/M2, VAOS ATE 3,50M/E=8CM, C/LAJOTAS E CAP.C/CONC FCK=20MPA, 3CM, INTER-EIXO 38CM, C/ESCORAMENTO (REAPR.3X) E FERRAGEM NEGATIVA</v>
      </c>
    </row>
    <row r="813" spans="1:19" s="344" customFormat="1">
      <c r="A813" s="49"/>
      <c r="B813" s="17"/>
      <c r="C813" s="49"/>
      <c r="D813" s="17"/>
      <c r="E813" s="7"/>
      <c r="F813" s="10"/>
      <c r="G813" s="27"/>
      <c r="H813" s="27"/>
      <c r="I813" s="9"/>
      <c r="J813" s="9"/>
      <c r="K813" s="17"/>
      <c r="L813" s="474"/>
      <c r="M813" s="471"/>
      <c r="N813" s="405"/>
      <c r="O813" s="541"/>
      <c r="P813" s="405"/>
      <c r="Q813" s="405"/>
    </row>
    <row r="814" spans="1:19" s="344" customFormat="1">
      <c r="A814" s="49"/>
      <c r="B814" s="17"/>
      <c r="C814" s="49"/>
      <c r="D814" s="53" t="s">
        <v>76</v>
      </c>
      <c r="E814" s="7"/>
      <c r="F814" s="10"/>
      <c r="G814" s="27"/>
      <c r="H814" s="27"/>
      <c r="I814" s="9"/>
      <c r="J814" s="9"/>
      <c r="K814" s="383"/>
      <c r="L814" s="474"/>
      <c r="M814" s="471"/>
      <c r="N814" s="405"/>
      <c r="O814" s="541"/>
      <c r="P814" s="405"/>
      <c r="Q814" s="405"/>
      <c r="S814" s="344" t="str">
        <f t="shared" ref="S814:S821" si="88">UPPER(D814)</f>
        <v/>
      </c>
    </row>
    <row r="815" spans="1:19" s="344" customFormat="1">
      <c r="A815" s="45">
        <v>3</v>
      </c>
      <c r="B815" s="17"/>
      <c r="C815" s="45"/>
      <c r="D815" s="53" t="s">
        <v>2067</v>
      </c>
      <c r="E815" s="7"/>
      <c r="F815" s="10"/>
      <c r="G815" s="27"/>
      <c r="H815" s="27"/>
      <c r="I815" s="9"/>
      <c r="J815" s="9"/>
      <c r="K815" s="383"/>
      <c r="L815" s="474"/>
      <c r="M815" s="471"/>
      <c r="N815" s="405"/>
      <c r="O815" s="541"/>
      <c r="P815" s="405"/>
      <c r="Q815" s="405"/>
      <c r="S815" s="344" t="str">
        <f t="shared" si="88"/>
        <v>PAREDES / PAINÉIS</v>
      </c>
    </row>
    <row r="816" spans="1:19" s="414" customFormat="1">
      <c r="A816" s="410" t="s">
        <v>144</v>
      </c>
      <c r="B816" s="411"/>
      <c r="C816" s="410"/>
      <c r="D816" s="429" t="s">
        <v>2068</v>
      </c>
      <c r="E816" s="617"/>
      <c r="F816" s="413"/>
      <c r="G816" s="619"/>
      <c r="H816" s="619"/>
      <c r="I816" s="412"/>
      <c r="J816" s="412"/>
      <c r="K816" s="498"/>
      <c r="L816" s="474"/>
      <c r="M816" s="471"/>
      <c r="N816" s="419"/>
      <c r="O816" s="541"/>
      <c r="P816" s="419"/>
      <c r="Q816" s="419"/>
      <c r="S816" s="414" t="str">
        <f t="shared" si="88"/>
        <v>ALVENARIA DE BLOCOS DE CONCRETO</v>
      </c>
    </row>
    <row r="817" spans="1:19" s="414" customFormat="1">
      <c r="A817" s="410" t="s">
        <v>143</v>
      </c>
      <c r="B817" s="411"/>
      <c r="C817" s="410"/>
      <c r="D817" s="429" t="s">
        <v>2069</v>
      </c>
      <c r="E817" s="617"/>
      <c r="F817" s="413"/>
      <c r="G817" s="619"/>
      <c r="H817" s="619"/>
      <c r="I817" s="412"/>
      <c r="J817" s="412"/>
      <c r="K817" s="498"/>
      <c r="L817" s="474"/>
      <c r="M817" s="471"/>
      <c r="N817" s="419"/>
      <c r="O817" s="541"/>
      <c r="P817" s="419"/>
      <c r="Q817" s="419"/>
      <c r="S817" s="414" t="str">
        <f t="shared" si="88"/>
        <v>ALVENARIA DE BLOCO DE CONCRETO</v>
      </c>
    </row>
    <row r="818" spans="1:19" s="344" customFormat="1">
      <c r="A818" s="49" t="s">
        <v>343</v>
      </c>
      <c r="B818" s="49">
        <f>'[3]Plan Tron'!B157</f>
        <v>141123</v>
      </c>
      <c r="C818" s="49" t="str">
        <f>'[3]Plan Tron'!C157</f>
        <v>CPOS</v>
      </c>
      <c r="D818" s="654" t="str">
        <f>UPPER('[3]Plan Tron'!D157)</f>
        <v>ALVENARIA DE BLOCO DE CONCRETO ESTRUTURAL, USO REVESTIDO, DE 19 CM</v>
      </c>
      <c r="E818" s="77" t="str">
        <f>'[3]Plan Tron'!E157</f>
        <v>M²</v>
      </c>
      <c r="F818" s="10">
        <v>19.84</v>
      </c>
      <c r="G818" s="9">
        <v>65</v>
      </c>
      <c r="H818" s="9">
        <f>'[3]Plan Tron'!F157</f>
        <v>63.81</v>
      </c>
      <c r="I818" s="9">
        <v>26.44</v>
      </c>
      <c r="J818" s="9">
        <f>ROUND(H818*(I818/100+1),2)</f>
        <v>80.680000000000007</v>
      </c>
      <c r="K818" s="383">
        <v>0</v>
      </c>
      <c r="L818" s="474">
        <f>F818-K818</f>
        <v>19.84</v>
      </c>
      <c r="M818" s="471">
        <f t="shared" si="86"/>
        <v>1600.69</v>
      </c>
      <c r="N818" s="405"/>
      <c r="O818" s="541"/>
      <c r="P818" s="405"/>
      <c r="Q818" s="405"/>
      <c r="S818" s="344" t="str">
        <f t="shared" si="88"/>
        <v>ALVENARIA DE BLOCO DE CONCRETO ESTRUTURAL, USO REVESTIDO, DE 19 CM</v>
      </c>
    </row>
    <row r="819" spans="1:19" s="344" customFormat="1" ht="39.75" customHeight="1">
      <c r="A819" s="49" t="s">
        <v>934</v>
      </c>
      <c r="B819" s="49">
        <f>'[3]Plan Tron'!B76</f>
        <v>87451</v>
      </c>
      <c r="C819" s="49" t="str">
        <f>'[3]Plan Tron'!C76</f>
        <v>SINAPI</v>
      </c>
      <c r="D819" s="130" t="str">
        <f>'[3]Plan Tron'!D76</f>
        <v>ALVENARIA DE VEDAÇÃO DE BLOCOS VAZADOS DE CONCRETO DE 19X19X39CM (ESPESSURA 19CM) DE PAREDES COM ÁREA LÍQUIDA MENOR QUE 6M² SEM VÃOS E ARGAMASSA DE ASSENTAMENTO COM PREPARO EM BETONEIRA. AF_06/2014</v>
      </c>
      <c r="E819" s="77" t="str">
        <f>'[3]Plan Tron'!E76</f>
        <v>M²</v>
      </c>
      <c r="F819" s="10">
        <v>254.34</v>
      </c>
      <c r="G819" s="9">
        <v>47.49</v>
      </c>
      <c r="H819" s="9">
        <f>'[3]Plan Tron'!F76</f>
        <v>70.959999999999994</v>
      </c>
      <c r="I819" s="9">
        <v>26.44</v>
      </c>
      <c r="J819" s="9">
        <f t="shared" ref="J819:J821" si="89">ROUND(H819*(I819/100+1),2)</f>
        <v>89.72</v>
      </c>
      <c r="K819" s="383">
        <v>0</v>
      </c>
      <c r="L819" s="474">
        <f>F819-K819</f>
        <v>254.34</v>
      </c>
      <c r="M819" s="471">
        <f t="shared" si="86"/>
        <v>22819.38</v>
      </c>
      <c r="N819" s="405"/>
      <c r="O819" s="541"/>
      <c r="P819" s="405"/>
      <c r="Q819" s="405"/>
      <c r="S819" s="344" t="str">
        <f t="shared" si="88"/>
        <v>ALVENARIA DE VEDAÇÃO DE BLOCOS VAZADOS DE CONCRETO DE 19X19X39CM (ESPESSURA 19CM) DE PAREDES COM ÁREA LÍQUIDA MENOR QUE 6M² SEM VÃOS E ARGAMASSA DE ASSENTAMENTO COM PREPARO EM BETONEIRA. AF_06/2014</v>
      </c>
    </row>
    <row r="820" spans="1:19" s="414" customFormat="1">
      <c r="A820" s="410" t="s">
        <v>142</v>
      </c>
      <c r="B820" s="411"/>
      <c r="C820" s="410"/>
      <c r="D820" s="429" t="s">
        <v>2218</v>
      </c>
      <c r="E820" s="617"/>
      <c r="F820" s="413"/>
      <c r="G820" s="619"/>
      <c r="H820" s="619"/>
      <c r="I820" s="412"/>
      <c r="J820" s="9"/>
      <c r="K820" s="498"/>
      <c r="L820" s="474"/>
      <c r="M820" s="471"/>
      <c r="N820" s="419"/>
      <c r="O820" s="541"/>
      <c r="P820" s="419"/>
      <c r="Q820" s="419"/>
      <c r="S820" s="414" t="str">
        <f t="shared" si="88"/>
        <v>ALVENARIA DE BLOCOS DE VIDRO</v>
      </c>
    </row>
    <row r="821" spans="1:19" s="731" customFormat="1">
      <c r="A821" s="332" t="s">
        <v>141</v>
      </c>
      <c r="B821" s="332">
        <f>'[3]Plan Tron'!B158</f>
        <v>142504</v>
      </c>
      <c r="C821" s="332" t="str">
        <f>'[3]Plan Tron'!C158</f>
        <v>CPOS</v>
      </c>
      <c r="D821" s="130" t="str">
        <f>UPPER('[3]Plan Tron'!D158)</f>
        <v xml:space="preserve">ALVENARIA EM BLOCO DE VIDRO COM ARMAÇÃO </v>
      </c>
      <c r="E821" s="724" t="str">
        <f>'[3]Plan Tron'!E158</f>
        <v>M²</v>
      </c>
      <c r="F821" s="353">
        <v>18.13</v>
      </c>
      <c r="G821" s="725">
        <v>334.49</v>
      </c>
      <c r="H821" s="725">
        <f>'[3]Plan Tron'!F158</f>
        <v>506.45</v>
      </c>
      <c r="I821" s="726">
        <v>26.44</v>
      </c>
      <c r="J821" s="9">
        <f t="shared" si="89"/>
        <v>640.36</v>
      </c>
      <c r="K821" s="727">
        <v>0</v>
      </c>
      <c r="L821" s="728">
        <f>F821-K821</f>
        <v>18.13</v>
      </c>
      <c r="M821" s="471">
        <f t="shared" si="86"/>
        <v>11609.73</v>
      </c>
      <c r="N821" s="729"/>
      <c r="O821" s="730"/>
      <c r="P821" s="729"/>
      <c r="Q821" s="729"/>
      <c r="S821" s="731" t="str">
        <f t="shared" si="88"/>
        <v xml:space="preserve">ALVENARIA EM BLOCO DE VIDRO COM ARMAÇÃO </v>
      </c>
    </row>
    <row r="822" spans="1:19" s="344" customFormat="1">
      <c r="A822" s="49"/>
      <c r="B822" s="17"/>
      <c r="C822" s="49"/>
      <c r="D822" s="17"/>
      <c r="E822" s="7"/>
      <c r="F822" s="10"/>
      <c r="G822" s="9"/>
      <c r="H822" s="9"/>
      <c r="I822" s="9"/>
      <c r="J822" s="9"/>
      <c r="K822" s="17"/>
      <c r="L822" s="474"/>
      <c r="M822" s="471"/>
      <c r="N822" s="405"/>
      <c r="O822" s="541"/>
      <c r="P822" s="405"/>
      <c r="Q822" s="405"/>
    </row>
    <row r="823" spans="1:19" s="344" customFormat="1">
      <c r="A823" s="49"/>
      <c r="B823" s="17"/>
      <c r="C823" s="49"/>
      <c r="D823" s="53" t="s">
        <v>76</v>
      </c>
      <c r="E823" s="7"/>
      <c r="F823" s="10"/>
      <c r="G823" s="9"/>
      <c r="H823" s="9"/>
      <c r="I823" s="9"/>
      <c r="J823" s="9"/>
      <c r="K823" s="383"/>
      <c r="L823" s="474"/>
      <c r="M823" s="471"/>
      <c r="N823" s="405"/>
      <c r="O823" s="541"/>
      <c r="P823" s="405"/>
      <c r="Q823" s="405"/>
      <c r="S823" s="344" t="str">
        <f>UPPER(D823)</f>
        <v/>
      </c>
    </row>
    <row r="824" spans="1:19" s="344" customFormat="1">
      <c r="A824" s="45">
        <v>4</v>
      </c>
      <c r="B824" s="17"/>
      <c r="C824" s="45"/>
      <c r="D824" s="53" t="s">
        <v>2125</v>
      </c>
      <c r="E824" s="7"/>
      <c r="F824" s="10"/>
      <c r="G824" s="27"/>
      <c r="H824" s="27"/>
      <c r="I824" s="9"/>
      <c r="J824" s="9"/>
      <c r="K824" s="383"/>
      <c r="L824" s="474"/>
      <c r="M824" s="471"/>
      <c r="N824" s="405"/>
      <c r="O824" s="541"/>
      <c r="P824" s="405"/>
      <c r="Q824" s="405"/>
      <c r="S824" s="344" t="str">
        <f>UPPER(D824)</f>
        <v>COBERTURA</v>
      </c>
    </row>
    <row r="825" spans="1:19" s="414" customFormat="1">
      <c r="A825" s="410" t="s">
        <v>139</v>
      </c>
      <c r="B825" s="411"/>
      <c r="C825" s="410"/>
      <c r="D825" s="429" t="s">
        <v>2126</v>
      </c>
      <c r="E825" s="617"/>
      <c r="F825" s="422"/>
      <c r="G825" s="619"/>
      <c r="H825" s="619"/>
      <c r="I825" s="412"/>
      <c r="J825" s="412"/>
      <c r="K825" s="498"/>
      <c r="L825" s="474"/>
      <c r="M825" s="471"/>
      <c r="N825" s="419"/>
      <c r="O825" s="541"/>
      <c r="P825" s="419"/>
      <c r="Q825" s="419"/>
      <c r="S825" s="414" t="str">
        <f>UPPER(D825)</f>
        <v>TELHAMENTO COM TELHA DE FIBROCIMENTO</v>
      </c>
    </row>
    <row r="826" spans="1:19" s="344" customFormat="1" ht="25.5">
      <c r="A826" s="49" t="s">
        <v>138</v>
      </c>
      <c r="B826" s="49">
        <f>'[3]Plan Tron'!B85</f>
        <v>94218</v>
      </c>
      <c r="C826" s="49" t="str">
        <f>'[3]Plan Tron'!C85</f>
        <v>SINAPI</v>
      </c>
      <c r="D826" s="130" t="str">
        <f>'[3]Plan Tron'!D85</f>
        <v xml:space="preserve"> TELHAMENTO COM TELHA ESTRUTURAL DE FIBROCIMENTO E= 6 MM, COM ATÉ 2 ÁGUAS, INCLUSO IÇAMENTO. AF_06/2016</v>
      </c>
      <c r="E826" s="77" t="str">
        <f>'[3]Plan Tron'!E85</f>
        <v>M²</v>
      </c>
      <c r="F826" s="21">
        <v>131.78</v>
      </c>
      <c r="G826" s="27">
        <v>73.97</v>
      </c>
      <c r="H826" s="27">
        <f>'[3]Plan Tron'!F85</f>
        <v>84.16</v>
      </c>
      <c r="I826" s="9">
        <v>26.44</v>
      </c>
      <c r="J826" s="9">
        <f>ROUND(H826*(I826/100+1),2)</f>
        <v>106.41</v>
      </c>
      <c r="K826" s="383">
        <v>0</v>
      </c>
      <c r="L826" s="474">
        <f>F826-K826</f>
        <v>131.78</v>
      </c>
      <c r="M826" s="471">
        <f t="shared" si="86"/>
        <v>14022.71</v>
      </c>
      <c r="N826" s="405"/>
      <c r="O826" s="541"/>
      <c r="P826" s="405"/>
      <c r="Q826" s="405"/>
      <c r="S826" s="344" t="str">
        <f>UPPER(D826)</f>
        <v xml:space="preserve"> TELHAMENTO COM TELHA ESTRUTURAL DE FIBROCIMENTO E= 6 MM, COM ATÉ 2 ÁGUAS, INCLUSO IÇAMENTO. AF_06/2016</v>
      </c>
    </row>
    <row r="827" spans="1:19" s="344" customFormat="1">
      <c r="A827" s="49"/>
      <c r="B827" s="17"/>
      <c r="C827" s="49"/>
      <c r="D827" s="17"/>
      <c r="E827" s="7"/>
      <c r="F827" s="10"/>
      <c r="G827" s="9"/>
      <c r="H827" s="9"/>
      <c r="I827" s="9"/>
      <c r="J827" s="9"/>
      <c r="K827" s="17"/>
      <c r="L827" s="474"/>
      <c r="M827" s="471"/>
      <c r="N827" s="405"/>
      <c r="O827" s="541"/>
      <c r="P827" s="405"/>
      <c r="Q827" s="405"/>
    </row>
    <row r="828" spans="1:19" s="344" customFormat="1">
      <c r="A828" s="49"/>
      <c r="B828" s="17"/>
      <c r="C828" s="49"/>
      <c r="D828" s="53" t="s">
        <v>76</v>
      </c>
      <c r="E828" s="7"/>
      <c r="F828" s="10"/>
      <c r="G828" s="9"/>
      <c r="H828" s="9"/>
      <c r="I828" s="9"/>
      <c r="J828" s="9"/>
      <c r="K828" s="383"/>
      <c r="L828" s="474"/>
      <c r="M828" s="471"/>
      <c r="N828" s="405"/>
      <c r="O828" s="541"/>
      <c r="P828" s="405"/>
      <c r="Q828" s="405"/>
      <c r="S828" s="344" t="str">
        <f>UPPER(D828)</f>
        <v/>
      </c>
    </row>
    <row r="829" spans="1:19" s="344" customFormat="1">
      <c r="A829" s="45">
        <v>5</v>
      </c>
      <c r="B829" s="17"/>
      <c r="C829" s="45"/>
      <c r="D829" s="53" t="s">
        <v>2070</v>
      </c>
      <c r="E829" s="7"/>
      <c r="F829" s="10"/>
      <c r="G829" s="27"/>
      <c r="H829" s="27"/>
      <c r="I829" s="9"/>
      <c r="J829" s="9"/>
      <c r="K829" s="383"/>
      <c r="L829" s="474"/>
      <c r="M829" s="471"/>
      <c r="N829" s="405"/>
      <c r="O829" s="541"/>
      <c r="P829" s="405"/>
      <c r="Q829" s="405"/>
      <c r="S829" s="344" t="str">
        <f>UPPER(D829)</f>
        <v>ESQUADRIAS / FERRAGENS / VIDROS</v>
      </c>
    </row>
    <row r="830" spans="1:19" s="414" customFormat="1">
      <c r="A830" s="410" t="s">
        <v>136</v>
      </c>
      <c r="B830" s="411"/>
      <c r="C830" s="410"/>
      <c r="D830" s="429" t="s">
        <v>2127</v>
      </c>
      <c r="E830" s="617"/>
      <c r="F830" s="413"/>
      <c r="G830" s="619"/>
      <c r="H830" s="619"/>
      <c r="I830" s="412"/>
      <c r="J830" s="412"/>
      <c r="K830" s="498"/>
      <c r="L830" s="474"/>
      <c r="M830" s="471"/>
      <c r="N830" s="419"/>
      <c r="O830" s="541"/>
      <c r="P830" s="419"/>
      <c r="Q830" s="419"/>
      <c r="S830" s="414" t="str">
        <f>UPPER(D830)</f>
        <v>PORTA E/OU TAMPA DE ALUMÍNIO</v>
      </c>
    </row>
    <row r="831" spans="1:19" s="414" customFormat="1">
      <c r="A831" s="410" t="s">
        <v>135</v>
      </c>
      <c r="B831" s="411"/>
      <c r="C831" s="410"/>
      <c r="D831" s="429" t="s">
        <v>2128</v>
      </c>
      <c r="E831" s="617"/>
      <c r="F831" s="413"/>
      <c r="G831" s="619"/>
      <c r="H831" s="619"/>
      <c r="I831" s="412"/>
      <c r="J831" s="412"/>
      <c r="K831" s="498"/>
      <c r="L831" s="474"/>
      <c r="M831" s="471"/>
      <c r="N831" s="419"/>
      <c r="O831" s="541"/>
      <c r="P831" s="419"/>
      <c r="Q831" s="419"/>
      <c r="S831" s="414" t="str">
        <f>UPPER(D831)</f>
        <v>PORTA DE ALUMÍNIO DE ABRIR</v>
      </c>
    </row>
    <row r="832" spans="1:19" s="344" customFormat="1">
      <c r="A832" s="49" t="s">
        <v>134</v>
      </c>
      <c r="B832" s="49">
        <f>'[3]Plan Tron'!B92</f>
        <v>250202</v>
      </c>
      <c r="C832" s="49" t="str">
        <f>'[3]Plan Tron'!C92</f>
        <v>CPOS</v>
      </c>
      <c r="D832" s="130" t="str">
        <f>UPPER('[3]Plan Tron'!D92)</f>
        <v xml:space="preserve">PORTA DE ENTRADA DE ABRIR EM ALUMÍNIO, SOB MEDIDA </v>
      </c>
      <c r="E832" s="77" t="str">
        <f>'[3]Plan Tron'!E92</f>
        <v>M²</v>
      </c>
      <c r="F832" s="21">
        <v>35.46</v>
      </c>
      <c r="G832" s="27">
        <v>469.37</v>
      </c>
      <c r="H832" s="27">
        <f>'[3]Plan Tron'!F92</f>
        <v>706.6</v>
      </c>
      <c r="I832" s="9">
        <v>26.44</v>
      </c>
      <c r="J832" s="9">
        <f>ROUND(H832*(I832/100+1),2)</f>
        <v>893.43</v>
      </c>
      <c r="K832" s="383">
        <v>0</v>
      </c>
      <c r="L832" s="474">
        <f>F832-K832</f>
        <v>35.46</v>
      </c>
      <c r="M832" s="471">
        <f t="shared" si="86"/>
        <v>31681.03</v>
      </c>
      <c r="N832" s="405"/>
      <c r="O832" s="541"/>
      <c r="P832" s="405"/>
      <c r="Q832" s="405"/>
      <c r="S832" s="344" t="str">
        <f>UPPER(D832)</f>
        <v xml:space="preserve">PORTA DE ENTRADA DE ABRIR EM ALUMÍNIO, SOB MEDIDA </v>
      </c>
    </row>
    <row r="833" spans="1:19" s="344" customFormat="1">
      <c r="A833" s="49"/>
      <c r="B833" s="17"/>
      <c r="C833" s="49"/>
      <c r="D833" s="17"/>
      <c r="E833" s="7"/>
      <c r="F833" s="10"/>
      <c r="G833" s="9"/>
      <c r="H833" s="9"/>
      <c r="I833" s="9"/>
      <c r="J833" s="9"/>
      <c r="K833" s="17"/>
      <c r="L833" s="474"/>
      <c r="M833" s="471"/>
      <c r="N833" s="405"/>
      <c r="O833" s="541"/>
      <c r="P833" s="405"/>
      <c r="Q833" s="405"/>
    </row>
    <row r="834" spans="1:19" s="344" customFormat="1">
      <c r="A834" s="49"/>
      <c r="B834" s="17"/>
      <c r="C834" s="49"/>
      <c r="D834" s="53" t="s">
        <v>76</v>
      </c>
      <c r="E834" s="7"/>
      <c r="F834" s="10"/>
      <c r="G834" s="9"/>
      <c r="H834" s="9"/>
      <c r="I834" s="9"/>
      <c r="J834" s="9"/>
      <c r="K834" s="383"/>
      <c r="L834" s="474"/>
      <c r="M834" s="471"/>
      <c r="N834" s="405"/>
      <c r="O834" s="541"/>
      <c r="P834" s="405"/>
      <c r="Q834" s="405"/>
      <c r="S834" s="344" t="str">
        <f t="shared" ref="S834:S839" si="90">UPPER(D834)</f>
        <v/>
      </c>
    </row>
    <row r="835" spans="1:19" s="344" customFormat="1">
      <c r="A835" s="45">
        <v>6</v>
      </c>
      <c r="B835" s="17"/>
      <c r="C835" s="45"/>
      <c r="D835" s="53" t="s">
        <v>2189</v>
      </c>
      <c r="E835" s="7"/>
      <c r="F835" s="10"/>
      <c r="G835" s="27"/>
      <c r="H835" s="27"/>
      <c r="I835" s="9"/>
      <c r="J835" s="9"/>
      <c r="K835" s="383"/>
      <c r="L835" s="474"/>
      <c r="M835" s="471"/>
      <c r="N835" s="405"/>
      <c r="O835" s="541"/>
      <c r="P835" s="405"/>
      <c r="Q835" s="405"/>
      <c r="S835" s="344" t="str">
        <f t="shared" si="90"/>
        <v>REVESTIMENTO E TRATAMENTO DE SUPERFÍCIES</v>
      </c>
    </row>
    <row r="836" spans="1:19" s="414" customFormat="1">
      <c r="A836" s="410" t="s">
        <v>120</v>
      </c>
      <c r="B836" s="411"/>
      <c r="C836" s="410"/>
      <c r="D836" s="429" t="s">
        <v>2190</v>
      </c>
      <c r="E836" s="617"/>
      <c r="F836" s="422"/>
      <c r="G836" s="619"/>
      <c r="H836" s="619"/>
      <c r="I836" s="412"/>
      <c r="J836" s="412"/>
      <c r="K836" s="498"/>
      <c r="L836" s="474"/>
      <c r="M836" s="471"/>
      <c r="N836" s="419"/>
      <c r="O836" s="541"/>
      <c r="P836" s="419"/>
      <c r="Q836" s="419"/>
      <c r="S836" s="414" t="str">
        <f t="shared" si="90"/>
        <v>EMBOÇO</v>
      </c>
    </row>
    <row r="837" spans="1:19" s="344" customFormat="1" ht="38.25">
      <c r="A837" s="49" t="s">
        <v>119</v>
      </c>
      <c r="B837" s="49">
        <f>'[3]Plan Tron'!B121</f>
        <v>87527</v>
      </c>
      <c r="C837" s="49" t="str">
        <f>'[3]Plan Tron'!C121</f>
        <v>SINAPI</v>
      </c>
      <c r="D837" s="130" t="str">
        <f>'[3]Plan Tron'!D121</f>
        <v>EMBOÇO, PARA RECEBIMENTO DE CERÂMICA, EM ARGAMASSA TRAÇO 1:2:8, PREPARO MECÂNICO COM BETONEIRA 400L, APLICADO MANUALMENTE EM FACES INTERNAS DE PAREDES, PARA AMBIENTE COM ÁREA MENOR QUE 5M2, ESPESSURA DE 20MM, COM EXECUÇÃO DE TALISCAS. AF_06/2014</v>
      </c>
      <c r="E837" s="7" t="s">
        <v>2332</v>
      </c>
      <c r="F837" s="21">
        <v>862.92</v>
      </c>
      <c r="G837" s="27">
        <v>18.93</v>
      </c>
      <c r="H837" s="27">
        <f>'[3]Plan Tron'!F121</f>
        <v>27.13</v>
      </c>
      <c r="I837" s="9">
        <v>26.44</v>
      </c>
      <c r="J837" s="9">
        <f>ROUND(H837*(I837/100+1),2)</f>
        <v>34.299999999999997</v>
      </c>
      <c r="K837" s="383">
        <v>0</v>
      </c>
      <c r="L837" s="474">
        <f>F837-K837</f>
        <v>862.92</v>
      </c>
      <c r="M837" s="471">
        <f t="shared" si="86"/>
        <v>29598.16</v>
      </c>
      <c r="N837" s="405"/>
      <c r="O837" s="541"/>
      <c r="P837" s="405"/>
      <c r="Q837" s="405"/>
      <c r="S837" s="344" t="str">
        <f t="shared" si="90"/>
        <v>EMBOÇO, PARA RECEBIMENTO DE CERÂMICA, EM ARGAMASSA TRAÇO 1:2:8, PREPARO MECÂNICO COM BETONEIRA 400L, APLICADO MANUALMENTE EM FACES INTERNAS DE PAREDES, PARA AMBIENTE COM ÁREA MENOR QUE 5M2, ESPESSURA DE 20MM, COM EXECUÇÃO DE TALISCAS. AF_06/2014</v>
      </c>
    </row>
    <row r="838" spans="1:19" s="414" customFormat="1">
      <c r="A838" s="410" t="s">
        <v>116</v>
      </c>
      <c r="B838" s="411"/>
      <c r="C838" s="410"/>
      <c r="D838" s="429" t="s">
        <v>2191</v>
      </c>
      <c r="E838" s="617"/>
      <c r="F838" s="422"/>
      <c r="G838" s="619"/>
      <c r="H838" s="619"/>
      <c r="I838" s="412"/>
      <c r="J838" s="412"/>
      <c r="K838" s="498"/>
      <c r="L838" s="474"/>
      <c r="M838" s="471"/>
      <c r="N838" s="419"/>
      <c r="O838" s="541"/>
      <c r="P838" s="419"/>
      <c r="Q838" s="419"/>
      <c r="S838" s="414" t="str">
        <f t="shared" si="90"/>
        <v>REBOCO</v>
      </c>
    </row>
    <row r="839" spans="1:19" s="344" customFormat="1" ht="25.5">
      <c r="A839" s="49" t="s">
        <v>115</v>
      </c>
      <c r="B839" s="49">
        <f>'[3]Plan Tron'!B122</f>
        <v>87784</v>
      </c>
      <c r="C839" s="49" t="str">
        <f>'[3]Plan Tron'!C122</f>
        <v>SINAPI</v>
      </c>
      <c r="D839" s="130" t="str">
        <f>'[3]Plan Tron'!D122</f>
        <v>EMBOÇO OU MASSA ÚNICA EM ARGAMASSA TRAÇO 1:2:8, PREPARO MECÂNICO COM BETONEIRA 400 L, APLICADA MANUALMENTE EM PANOS DE FACHADA COM PRESENÇA DE VÃOS, ESPESSURA DE 45 MM. AF_06/2014</v>
      </c>
      <c r="E839" s="77" t="str">
        <f>'[3]Plan Tron'!E122</f>
        <v>M²</v>
      </c>
      <c r="F839" s="21">
        <v>862.92</v>
      </c>
      <c r="G839" s="27">
        <v>12.45</v>
      </c>
      <c r="H839" s="27">
        <f>'[3]Plan Tron'!F122</f>
        <v>52.44</v>
      </c>
      <c r="I839" s="9">
        <v>26.44</v>
      </c>
      <c r="J839" s="9">
        <f>ROUND(H839*(I839/100+1),2)</f>
        <v>66.31</v>
      </c>
      <c r="K839" s="383">
        <v>0</v>
      </c>
      <c r="L839" s="474">
        <f>F839-K839</f>
        <v>862.92</v>
      </c>
      <c r="M839" s="471">
        <f t="shared" si="86"/>
        <v>57220.23</v>
      </c>
      <c r="N839" s="405"/>
      <c r="O839" s="541"/>
      <c r="P839" s="405"/>
      <c r="Q839" s="405"/>
      <c r="S839" s="344" t="str">
        <f t="shared" si="90"/>
        <v>EMBOÇO OU MASSA ÚNICA EM ARGAMASSA TRAÇO 1:2:8, PREPARO MECÂNICO COM BETONEIRA 400 L, APLICADA MANUALMENTE EM PANOS DE FACHADA COM PRESENÇA DE VÃOS, ESPESSURA DE 45 MM. AF_06/2014</v>
      </c>
    </row>
    <row r="840" spans="1:19" s="344" customFormat="1">
      <c r="A840" s="49"/>
      <c r="B840" s="17"/>
      <c r="C840" s="49"/>
      <c r="D840" s="17"/>
      <c r="E840" s="7"/>
      <c r="F840" s="10"/>
      <c r="G840" s="9"/>
      <c r="H840" s="9"/>
      <c r="I840" s="9"/>
      <c r="J840" s="9"/>
      <c r="K840" s="17"/>
      <c r="L840" s="474"/>
      <c r="M840" s="471"/>
      <c r="N840" s="405"/>
      <c r="O840" s="541"/>
      <c r="P840" s="405"/>
      <c r="Q840" s="405"/>
    </row>
    <row r="841" spans="1:19" s="344" customFormat="1">
      <c r="A841" s="49"/>
      <c r="B841" s="17"/>
      <c r="C841" s="49"/>
      <c r="D841" s="53" t="s">
        <v>76</v>
      </c>
      <c r="E841" s="7"/>
      <c r="F841" s="10"/>
      <c r="G841" s="27"/>
      <c r="H841" s="27"/>
      <c r="I841" s="9"/>
      <c r="J841" s="9"/>
      <c r="K841" s="383"/>
      <c r="L841" s="474"/>
      <c r="M841" s="471"/>
      <c r="N841" s="405"/>
      <c r="O841" s="541"/>
      <c r="P841" s="405"/>
      <c r="Q841" s="405"/>
      <c r="S841" s="344" t="str">
        <f t="shared" ref="S841:S847" si="91">UPPER(D841)</f>
        <v/>
      </c>
    </row>
    <row r="842" spans="1:19" s="344" customFormat="1">
      <c r="A842" s="45">
        <v>7</v>
      </c>
      <c r="B842" s="17"/>
      <c r="C842" s="45"/>
      <c r="D842" s="53" t="s">
        <v>2073</v>
      </c>
      <c r="E842" s="7"/>
      <c r="F842" s="10"/>
      <c r="G842" s="27"/>
      <c r="H842" s="27"/>
      <c r="I842" s="9"/>
      <c r="J842" s="9"/>
      <c r="K842" s="383"/>
      <c r="L842" s="474"/>
      <c r="M842" s="471"/>
      <c r="N842" s="405"/>
      <c r="O842" s="541"/>
      <c r="P842" s="405"/>
      <c r="Q842" s="405"/>
      <c r="S842" s="344" t="str">
        <f t="shared" si="91"/>
        <v>IMPERMEABILIZAÇÕES E PROTEÇÕES DIVERSAS</v>
      </c>
    </row>
    <row r="843" spans="1:19" s="414" customFormat="1">
      <c r="A843" s="650" t="s">
        <v>109</v>
      </c>
      <c r="B843" s="425"/>
      <c r="C843" s="410"/>
      <c r="D843" s="426" t="s">
        <v>2219</v>
      </c>
      <c r="E843" s="421"/>
      <c r="F843" s="423"/>
      <c r="G843" s="423"/>
      <c r="H843" s="423"/>
      <c r="I843" s="412"/>
      <c r="J843" s="412"/>
      <c r="K843" s="498"/>
      <c r="L843" s="474"/>
      <c r="M843" s="471"/>
      <c r="N843" s="419"/>
      <c r="O843" s="541"/>
      <c r="P843" s="419"/>
      <c r="Q843" s="419"/>
      <c r="S843" s="414" t="str">
        <f t="shared" si="91"/>
        <v>IMPERMEABILIZAÇÃO COM ARGAMASSA</v>
      </c>
    </row>
    <row r="844" spans="1:19" s="344" customFormat="1" ht="25.5">
      <c r="A844" s="55" t="s">
        <v>108</v>
      </c>
      <c r="B844" s="49">
        <f>'[3]Plan Tron'!B129</f>
        <v>83733</v>
      </c>
      <c r="C844" s="49" t="str">
        <f>'[3]Plan Tron'!C129</f>
        <v>SINAPI</v>
      </c>
      <c r="D844" s="63" t="str">
        <f>'[3]Plan Tron'!D129</f>
        <v>IMPERMEABILIZACAO DE SUPERFICIE COM ARGAMASSA DE CIMENTO E AREIA (GROSSA), TRACO 1:4, COM ADITIVO IMPERMEABILIZANTE, E=2 CM</v>
      </c>
      <c r="E844" s="672" t="str">
        <f>'[3]Plan Tron'!E129</f>
        <v>M²</v>
      </c>
      <c r="F844" s="21">
        <v>73.319999999999993</v>
      </c>
      <c r="G844" s="9">
        <v>27.97</v>
      </c>
      <c r="H844" s="9">
        <f>'[3]Plan Tron'!F129</f>
        <v>36.229999999999997</v>
      </c>
      <c r="I844" s="9">
        <v>26.44</v>
      </c>
      <c r="J844" s="9">
        <f>ROUND(H844*(I844/100+1),2)</f>
        <v>45.81</v>
      </c>
      <c r="K844" s="383">
        <v>0</v>
      </c>
      <c r="L844" s="474">
        <f>F844-K844</f>
        <v>73.319999999999993</v>
      </c>
      <c r="M844" s="471">
        <f t="shared" si="86"/>
        <v>3358.79</v>
      </c>
      <c r="N844" s="405"/>
      <c r="O844" s="541"/>
      <c r="P844" s="405"/>
      <c r="Q844" s="405"/>
      <c r="S844" s="344" t="str">
        <f t="shared" si="91"/>
        <v>IMPERMEABILIZACAO DE SUPERFICIE COM ARGAMASSA DE CIMENTO E AREIA (GROSSA), TRACO 1:4, COM ADITIVO IMPERMEABILIZANTE, E=2 CM</v>
      </c>
    </row>
    <row r="845" spans="1:19" s="414" customFormat="1">
      <c r="A845" s="410" t="s">
        <v>106</v>
      </c>
      <c r="B845" s="411"/>
      <c r="C845" s="410"/>
      <c r="D845" s="429" t="s">
        <v>2074</v>
      </c>
      <c r="E845" s="617"/>
      <c r="F845" s="422"/>
      <c r="G845" s="619"/>
      <c r="H845" s="619"/>
      <c r="I845" s="412"/>
      <c r="J845" s="412"/>
      <c r="K845" s="498"/>
      <c r="L845" s="474"/>
      <c r="M845" s="471"/>
      <c r="N845" s="419"/>
      <c r="O845" s="541"/>
      <c r="P845" s="419"/>
      <c r="Q845" s="419"/>
      <c r="S845" s="414" t="str">
        <f t="shared" si="91"/>
        <v>IMPERMEABILIZAÇÃO COM CIMENTO CRISTALIZADO</v>
      </c>
    </row>
    <row r="846" spans="1:19" s="414" customFormat="1" ht="25.5">
      <c r="A846" s="410" t="s">
        <v>105</v>
      </c>
      <c r="B846" s="411"/>
      <c r="C846" s="410"/>
      <c r="D846" s="429" t="s">
        <v>2075</v>
      </c>
      <c r="E846" s="617"/>
      <c r="F846" s="422"/>
      <c r="G846" s="619"/>
      <c r="H846" s="619"/>
      <c r="I846" s="412"/>
      <c r="J846" s="412"/>
      <c r="K846" s="498"/>
      <c r="L846" s="474"/>
      <c r="M846" s="471"/>
      <c r="N846" s="419"/>
      <c r="O846" s="541"/>
      <c r="P846" s="419"/>
      <c r="Q846" s="419"/>
      <c r="S846" s="414" t="str">
        <f t="shared" si="91"/>
        <v>CIMENTO ESPECIAL CRISTALIZANTE DENVERLIT C/ EMULSÃO ADESIVA DENVERFIX - DENVER - 1 DEMÃO P/ SUBSOLO / BALDRAMES / GALERIAS / JARDINEIRAS / ETC.</v>
      </c>
    </row>
    <row r="847" spans="1:19" s="344" customFormat="1" ht="25.5">
      <c r="A847" s="49" t="s">
        <v>427</v>
      </c>
      <c r="B847" s="49" t="str">
        <f>'[3]Plan Tron'!B33</f>
        <v>73929/001</v>
      </c>
      <c r="C847" s="49" t="str">
        <f>'[3]Plan Tron'!C33</f>
        <v>SINAPI</v>
      </c>
      <c r="D847" s="130" t="str">
        <f>'[3]Plan Tron'!D33</f>
        <v>IMPERMEABILIZACAO DE SUPERFICIE COM CIMENTO ESPECIAL CRISTALIZANTE COM ADESIVO LIQUIDO, UMA DEMAO.</v>
      </c>
      <c r="E847" s="77" t="str">
        <f>'[3]Plan Tron'!E33</f>
        <v>M²</v>
      </c>
      <c r="F847" s="21">
        <v>146.04</v>
      </c>
      <c r="G847" s="9">
        <v>18.329999999999998</v>
      </c>
      <c r="H847" s="9">
        <f>'[3]Plan Tron'!F33</f>
        <v>30.96</v>
      </c>
      <c r="I847" s="9">
        <v>26.44</v>
      </c>
      <c r="J847" s="9">
        <f>ROUND(H847*(I847/100+1),2)</f>
        <v>39.15</v>
      </c>
      <c r="K847" s="383">
        <v>0</v>
      </c>
      <c r="L847" s="474">
        <f>F847-K847</f>
        <v>146.04</v>
      </c>
      <c r="M847" s="471">
        <f t="shared" si="86"/>
        <v>5717.47</v>
      </c>
      <c r="N847" s="405"/>
      <c r="O847" s="541"/>
      <c r="P847" s="405"/>
      <c r="Q847" s="405"/>
      <c r="S847" s="344" t="str">
        <f t="shared" si="91"/>
        <v>IMPERMEABILIZACAO DE SUPERFICIE COM CIMENTO ESPECIAL CRISTALIZANTE COM ADESIVO LIQUIDO, UMA DEMAO.</v>
      </c>
    </row>
    <row r="848" spans="1:19" s="344" customFormat="1">
      <c r="A848" s="49"/>
      <c r="B848" s="17"/>
      <c r="C848" s="49"/>
      <c r="D848" s="17"/>
      <c r="E848" s="7"/>
      <c r="F848" s="10"/>
      <c r="G848" s="9"/>
      <c r="H848" s="9"/>
      <c r="I848" s="9"/>
      <c r="J848" s="9"/>
      <c r="K848" s="17"/>
      <c r="L848" s="474"/>
      <c r="M848" s="471"/>
      <c r="N848" s="405"/>
      <c r="O848" s="541"/>
      <c r="P848" s="405"/>
      <c r="Q848" s="405"/>
    </row>
    <row r="849" spans="1:19" s="344" customFormat="1">
      <c r="A849" s="49"/>
      <c r="B849" s="17"/>
      <c r="C849" s="49"/>
      <c r="D849" s="53" t="s">
        <v>76</v>
      </c>
      <c r="E849" s="7"/>
      <c r="F849" s="10"/>
      <c r="G849" s="9"/>
      <c r="H849" s="9"/>
      <c r="I849" s="9"/>
      <c r="J849" s="9"/>
      <c r="K849" s="383"/>
      <c r="L849" s="474"/>
      <c r="M849" s="471"/>
      <c r="N849" s="405"/>
      <c r="O849" s="541"/>
      <c r="P849" s="405"/>
      <c r="Q849" s="405"/>
      <c r="S849" s="344" t="str">
        <f t="shared" ref="S849:S855" si="92">UPPER(D849)</f>
        <v/>
      </c>
    </row>
    <row r="850" spans="1:19" s="344" customFormat="1">
      <c r="A850" s="59">
        <v>8</v>
      </c>
      <c r="B850" s="65"/>
      <c r="C850" s="59"/>
      <c r="D850" s="169" t="s">
        <v>2107</v>
      </c>
      <c r="E850" s="18"/>
      <c r="F850" s="19"/>
      <c r="G850" s="36"/>
      <c r="H850" s="36"/>
      <c r="I850" s="9"/>
      <c r="J850" s="9"/>
      <c r="K850" s="383"/>
      <c r="L850" s="474"/>
      <c r="M850" s="471"/>
      <c r="N850" s="405"/>
      <c r="O850" s="541"/>
      <c r="P850" s="405"/>
      <c r="Q850" s="405"/>
      <c r="S850" s="344" t="str">
        <f t="shared" si="92"/>
        <v>PINTURAS</v>
      </c>
    </row>
    <row r="851" spans="1:19" s="414" customFormat="1">
      <c r="A851" s="650" t="s">
        <v>90</v>
      </c>
      <c r="B851" s="425"/>
      <c r="C851" s="410"/>
      <c r="D851" s="426" t="s">
        <v>2108</v>
      </c>
      <c r="E851" s="421"/>
      <c r="F851" s="623"/>
      <c r="G851" s="623"/>
      <c r="H851" s="623"/>
      <c r="I851" s="412"/>
      <c r="J851" s="412"/>
      <c r="K851" s="498"/>
      <c r="L851" s="474"/>
      <c r="M851" s="471"/>
      <c r="N851" s="419"/>
      <c r="O851" s="541"/>
      <c r="P851" s="419"/>
      <c r="Q851" s="419"/>
      <c r="S851" s="414" t="str">
        <f t="shared" si="92"/>
        <v>PINTURA DE PAREDE</v>
      </c>
    </row>
    <row r="852" spans="1:19" s="414" customFormat="1">
      <c r="A852" s="650" t="s">
        <v>89</v>
      </c>
      <c r="B852" s="611"/>
      <c r="C852" s="410"/>
      <c r="D852" s="426" t="s">
        <v>2199</v>
      </c>
      <c r="E852" s="421"/>
      <c r="F852" s="623"/>
      <c r="G852" s="623"/>
      <c r="H852" s="623"/>
      <c r="I852" s="412"/>
      <c r="J852" s="412"/>
      <c r="K852" s="498"/>
      <c r="L852" s="474"/>
      <c r="M852" s="471"/>
      <c r="N852" s="419"/>
      <c r="O852" s="541"/>
      <c r="P852" s="419"/>
      <c r="Q852" s="419"/>
      <c r="S852" s="414" t="str">
        <f t="shared" si="92"/>
        <v>PINTURA LÁTEX ACRÍLICA EXTERNA / INTERNA S/ SELADOR</v>
      </c>
    </row>
    <row r="853" spans="1:19" s="344" customFormat="1">
      <c r="A853" s="55" t="s">
        <v>88</v>
      </c>
      <c r="B853" s="49" t="str">
        <f>'[3]Plan Tron'!B72</f>
        <v xml:space="preserve">88489 </v>
      </c>
      <c r="C853" s="49" t="str">
        <f>'[3]Plan Tron'!C72</f>
        <v>SINAPI</v>
      </c>
      <c r="D853" s="63" t="str">
        <f>'[3]Plan Tron'!D72</f>
        <v>APLICAÇÃO MANUAL DE PINTURA COM TINTA LÁTEX ACRÍLICA EM PAREDES, DUAS DEMÃOS. AF_06/2014</v>
      </c>
      <c r="E853" s="18" t="str">
        <f>'[3]Plan Tron'!E72</f>
        <v>M²</v>
      </c>
      <c r="F853" s="36">
        <v>862.92</v>
      </c>
      <c r="G853" s="9">
        <v>8.39</v>
      </c>
      <c r="H853" s="9">
        <f>'[3]Plan Tron'!F72</f>
        <v>9.69</v>
      </c>
      <c r="I853" s="9">
        <v>26.44</v>
      </c>
      <c r="J853" s="9">
        <f>ROUND(H853*(I853/100+1),2)</f>
        <v>12.25</v>
      </c>
      <c r="K853" s="383">
        <v>0</v>
      </c>
      <c r="L853" s="474">
        <f>F853-K853</f>
        <v>862.92</v>
      </c>
      <c r="M853" s="471">
        <f t="shared" si="86"/>
        <v>10570.77</v>
      </c>
      <c r="N853" s="405"/>
      <c r="O853" s="541"/>
      <c r="P853" s="405"/>
      <c r="Q853" s="405"/>
      <c r="S853" s="344" t="str">
        <f t="shared" si="92"/>
        <v>APLICAÇÃO MANUAL DE PINTURA COM TINTA LÁTEX ACRÍLICA EM PAREDES, DUAS DEMÃOS. AF_06/2014</v>
      </c>
    </row>
    <row r="854" spans="1:19" s="414" customFormat="1">
      <c r="A854" s="650" t="s">
        <v>797</v>
      </c>
      <c r="B854" s="411"/>
      <c r="C854" s="410"/>
      <c r="D854" s="429" t="s">
        <v>2113</v>
      </c>
      <c r="E854" s="617"/>
      <c r="F854" s="422"/>
      <c r="G854" s="619"/>
      <c r="H854" s="619"/>
      <c r="I854" s="412"/>
      <c r="J854" s="412"/>
      <c r="K854" s="498"/>
      <c r="L854" s="474"/>
      <c r="M854" s="471">
        <f t="shared" ref="M854:M874" si="93">ROUND(L854*J854,2)</f>
        <v>0</v>
      </c>
      <c r="N854" s="419"/>
      <c r="O854" s="541"/>
      <c r="P854" s="419"/>
      <c r="Q854" s="419"/>
      <c r="S854" s="414" t="str">
        <f t="shared" si="92"/>
        <v>PINTURA EM CONCRETO APARENTE</v>
      </c>
    </row>
    <row r="855" spans="1:19" s="344" customFormat="1">
      <c r="A855" s="49" t="s">
        <v>796</v>
      </c>
      <c r="B855" s="49">
        <f>'[3]Plan Tron'!B75</f>
        <v>84678</v>
      </c>
      <c r="C855" s="49" t="str">
        <f>'[3]Plan Tron'!C75</f>
        <v>SINAPI</v>
      </c>
      <c r="D855" s="130" t="str">
        <f>'[3]Plan Tron'!D75</f>
        <v xml:space="preserve">VERNIZ POLIURETANO BRILHANTE EM CONCRETO OU TIJOLO, TRES DEMAOS </v>
      </c>
      <c r="E855" s="77" t="str">
        <f>'[3]Plan Tron'!E75</f>
        <v>M²</v>
      </c>
      <c r="F855" s="21">
        <v>627.6</v>
      </c>
      <c r="G855" s="27">
        <v>11.75</v>
      </c>
      <c r="H855" s="27">
        <f>'[3]Plan Tron'!F75</f>
        <v>16.84</v>
      </c>
      <c r="I855" s="9">
        <v>26.44</v>
      </c>
      <c r="J855" s="9">
        <f>ROUND(H855*(I855/100+1),2)</f>
        <v>21.29</v>
      </c>
      <c r="K855" s="383">
        <v>0</v>
      </c>
      <c r="L855" s="474">
        <f>F855-K855</f>
        <v>627.6</v>
      </c>
      <c r="M855" s="471">
        <f t="shared" si="93"/>
        <v>13361.6</v>
      </c>
      <c r="N855" s="405"/>
      <c r="O855" s="541"/>
      <c r="P855" s="405"/>
      <c r="Q855" s="405"/>
      <c r="S855" s="344" t="str">
        <f t="shared" si="92"/>
        <v xml:space="preserve">VERNIZ POLIURETANO BRILHANTE EM CONCRETO OU TIJOLO, TRES DEMAOS </v>
      </c>
    </row>
    <row r="856" spans="1:19" s="344" customFormat="1">
      <c r="A856" s="49"/>
      <c r="B856" s="17"/>
      <c r="C856" s="49"/>
      <c r="D856" s="65"/>
      <c r="E856" s="7"/>
      <c r="F856" s="10"/>
      <c r="G856" s="9"/>
      <c r="H856" s="9"/>
      <c r="I856" s="9"/>
      <c r="J856" s="9"/>
      <c r="K856" s="65"/>
      <c r="L856" s="474"/>
      <c r="M856" s="471"/>
      <c r="N856" s="405"/>
      <c r="O856" s="541"/>
      <c r="P856" s="405"/>
      <c r="Q856" s="405"/>
    </row>
    <row r="857" spans="1:19" s="344" customFormat="1">
      <c r="A857" s="49"/>
      <c r="B857" s="11"/>
      <c r="C857" s="49"/>
      <c r="D857" s="53" t="s">
        <v>76</v>
      </c>
      <c r="E857" s="7"/>
      <c r="F857" s="10"/>
      <c r="G857" s="27"/>
      <c r="H857" s="27"/>
      <c r="I857" s="9"/>
      <c r="J857" s="9"/>
      <c r="K857" s="383"/>
      <c r="L857" s="474"/>
      <c r="M857" s="471"/>
      <c r="N857" s="405"/>
      <c r="O857" s="541"/>
      <c r="P857" s="405"/>
      <c r="Q857" s="405"/>
      <c r="S857" s="344" t="str">
        <f>UPPER(D857)</f>
        <v/>
      </c>
    </row>
    <row r="858" spans="1:19" s="344" customFormat="1">
      <c r="A858" s="45">
        <v>9</v>
      </c>
      <c r="B858" s="11"/>
      <c r="C858" s="45"/>
      <c r="D858" s="53" t="s">
        <v>2031</v>
      </c>
      <c r="E858" s="7"/>
      <c r="F858" s="10"/>
      <c r="G858" s="27"/>
      <c r="H858" s="27"/>
      <c r="I858" s="9"/>
      <c r="J858" s="9"/>
      <c r="K858" s="383"/>
      <c r="L858" s="474"/>
      <c r="M858" s="471"/>
      <c r="N858" s="405"/>
      <c r="O858" s="541"/>
      <c r="P858" s="405"/>
      <c r="Q858" s="405"/>
      <c r="S858" s="344" t="str">
        <f>UPPER(D858)</f>
        <v>SERVIÇOS TÉCNICOS</v>
      </c>
    </row>
    <row r="859" spans="1:19" s="414" customFormat="1">
      <c r="A859" s="410" t="s">
        <v>87</v>
      </c>
      <c r="B859" s="411"/>
      <c r="C859" s="410"/>
      <c r="D859" s="429" t="s">
        <v>2032</v>
      </c>
      <c r="E859" s="617"/>
      <c r="F859" s="413"/>
      <c r="G859" s="619"/>
      <c r="H859" s="619"/>
      <c r="I859" s="412"/>
      <c r="J859" s="412"/>
      <c r="K859" s="498"/>
      <c r="L859" s="474"/>
      <c r="M859" s="471"/>
      <c r="N859" s="419"/>
      <c r="O859" s="541"/>
      <c r="P859" s="419"/>
      <c r="Q859" s="419"/>
      <c r="S859" s="414" t="str">
        <f>UPPER(D859)</f>
        <v>LOCAÇÃO</v>
      </c>
    </row>
    <row r="860" spans="1:19" s="344" customFormat="1">
      <c r="A860" s="49" t="s">
        <v>86</v>
      </c>
      <c r="B860" s="49">
        <f>'[3]Plan Tron'!B98</f>
        <v>73679</v>
      </c>
      <c r="C860" s="49" t="str">
        <f>'[3]Plan Tron'!C98</f>
        <v>SINAPI</v>
      </c>
      <c r="D860" s="130" t="str">
        <f>'[3]Plan Tron'!D98</f>
        <v>LOCAÇÃO DE ADUTORAS, COLETORES TRONCO E INTERCEPTORES - ATÉ DN 500 MM</v>
      </c>
      <c r="E860" s="77" t="str">
        <f>'[3]Plan Tron'!E98</f>
        <v>M</v>
      </c>
      <c r="F860" s="10">
        <v>40.39</v>
      </c>
      <c r="G860" s="27">
        <v>0.83</v>
      </c>
      <c r="H860" s="27">
        <f>'[3]Plan Tron'!F98</f>
        <v>1.6</v>
      </c>
      <c r="I860" s="9">
        <v>26.44</v>
      </c>
      <c r="J860" s="9">
        <f>ROUND(H860*(I860/100+1),2)</f>
        <v>2.02</v>
      </c>
      <c r="K860" s="383">
        <v>0</v>
      </c>
      <c r="L860" s="474">
        <f>F860-K860</f>
        <v>40.39</v>
      </c>
      <c r="M860" s="471">
        <f t="shared" si="93"/>
        <v>81.59</v>
      </c>
      <c r="N860" s="405"/>
      <c r="O860" s="541"/>
      <c r="P860" s="405"/>
      <c r="Q860" s="405"/>
      <c r="S860" s="344" t="str">
        <f>UPPER(D860)</f>
        <v>LOCAÇÃO DE ADUTORAS, COLETORES TRONCO E INTERCEPTORES - ATÉ DN 500 MM</v>
      </c>
    </row>
    <row r="861" spans="1:19" s="344" customFormat="1">
      <c r="A861" s="49"/>
      <c r="B861" s="11"/>
      <c r="C861" s="49"/>
      <c r="D861" s="17"/>
      <c r="E861" s="7"/>
      <c r="F861" s="10"/>
      <c r="G861" s="27"/>
      <c r="H861" s="27"/>
      <c r="I861" s="9"/>
      <c r="J861" s="9"/>
      <c r="K861" s="17"/>
      <c r="L861" s="474"/>
      <c r="M861" s="471"/>
      <c r="N861" s="405"/>
      <c r="O861" s="541"/>
      <c r="P861" s="405"/>
      <c r="Q861" s="405"/>
    </row>
    <row r="862" spans="1:19" s="344" customFormat="1">
      <c r="A862" s="49"/>
      <c r="B862" s="11"/>
      <c r="C862" s="49"/>
      <c r="D862" s="53" t="s">
        <v>76</v>
      </c>
      <c r="E862" s="7"/>
      <c r="F862" s="10"/>
      <c r="G862" s="27"/>
      <c r="H862" s="27"/>
      <c r="I862" s="9"/>
      <c r="J862" s="9"/>
      <c r="K862" s="383"/>
      <c r="L862" s="474"/>
      <c r="M862" s="471"/>
      <c r="N862" s="405"/>
      <c r="O862" s="541"/>
      <c r="P862" s="405"/>
      <c r="Q862" s="405"/>
      <c r="S862" s="344" t="str">
        <f t="shared" ref="S862:S869" si="94">UPPER(D862)</f>
        <v/>
      </c>
    </row>
    <row r="863" spans="1:19" s="344" customFormat="1">
      <c r="A863" s="45">
        <v>10</v>
      </c>
      <c r="B863" s="11"/>
      <c r="C863" s="45"/>
      <c r="D863" s="53" t="s">
        <v>2220</v>
      </c>
      <c r="E863" s="7"/>
      <c r="F863" s="10"/>
      <c r="G863" s="27"/>
      <c r="H863" s="27"/>
      <c r="I863" s="9"/>
      <c r="J863" s="9"/>
      <c r="K863" s="383"/>
      <c r="L863" s="474"/>
      <c r="M863" s="471"/>
      <c r="N863" s="405"/>
      <c r="O863" s="541"/>
      <c r="P863" s="405"/>
      <c r="Q863" s="405"/>
      <c r="S863" s="344" t="str">
        <f t="shared" si="94"/>
        <v xml:space="preserve">TRANSITO E SEGURANÇA </v>
      </c>
    </row>
    <row r="864" spans="1:19" s="414" customFormat="1">
      <c r="A864" s="410" t="s">
        <v>84</v>
      </c>
      <c r="B864" s="411"/>
      <c r="C864" s="410"/>
      <c r="D864" s="429" t="s">
        <v>2221</v>
      </c>
      <c r="E864" s="617"/>
      <c r="F864" s="413"/>
      <c r="G864" s="619"/>
      <c r="H864" s="619"/>
      <c r="I864" s="412"/>
      <c r="J864" s="412"/>
      <c r="K864" s="498"/>
      <c r="L864" s="474"/>
      <c r="M864" s="471"/>
      <c r="N864" s="419"/>
      <c r="O864" s="541"/>
      <c r="P864" s="419"/>
      <c r="Q864" s="419"/>
      <c r="S864" s="414" t="str">
        <f t="shared" si="94"/>
        <v>TAPUME DE VEDACAO - INTERLIGAÇÃO</v>
      </c>
    </row>
    <row r="865" spans="1:37" s="344" customFormat="1">
      <c r="A865" s="49" t="s">
        <v>83</v>
      </c>
      <c r="B865" s="49" t="str">
        <f>'[3]Plan Tron'!B159</f>
        <v xml:space="preserve">74220/001 </v>
      </c>
      <c r="C865" s="49" t="str">
        <f>'[3]Plan Tron'!C159</f>
        <v>SINAPI</v>
      </c>
      <c r="D865" s="130" t="str">
        <f>'[3]Plan Tron'!D159</f>
        <v>TAPUME DE CHAPA DE MADEIRA COMPENSADA, E= 6MM, COM PINTURA A CAL E REAPROVEITAMENTO DE 2X</v>
      </c>
      <c r="E865" s="77" t="str">
        <f>'[3]Plan Tron'!E159</f>
        <v>M²</v>
      </c>
      <c r="F865" s="10">
        <v>96.95</v>
      </c>
      <c r="G865" s="27">
        <v>36.270000000000003</v>
      </c>
      <c r="H865" s="27">
        <f>'[3]Plan Tron'!F159</f>
        <v>52.99</v>
      </c>
      <c r="I865" s="9">
        <v>26.44</v>
      </c>
      <c r="J865" s="9">
        <f>ROUND(H865*(I865/100+1),2)</f>
        <v>67</v>
      </c>
      <c r="K865" s="383">
        <v>0</v>
      </c>
      <c r="L865" s="474">
        <f>F865-K865</f>
        <v>96.95</v>
      </c>
      <c r="M865" s="471">
        <f t="shared" si="93"/>
        <v>6495.65</v>
      </c>
      <c r="N865" s="405"/>
      <c r="O865" s="541"/>
      <c r="P865" s="405"/>
      <c r="Q865" s="405"/>
      <c r="S865" s="344" t="str">
        <f t="shared" si="94"/>
        <v>TAPUME DE CHAPA DE MADEIRA COMPENSADA, E= 6MM, COM PINTURA A CAL E REAPROVEITAMENTO DE 2X</v>
      </c>
    </row>
    <row r="866" spans="1:37" s="414" customFormat="1">
      <c r="A866" s="410" t="s">
        <v>1136</v>
      </c>
      <c r="B866" s="411"/>
      <c r="C866" s="410"/>
      <c r="D866" s="429" t="s">
        <v>2222</v>
      </c>
      <c r="E866" s="617"/>
      <c r="F866" s="413"/>
      <c r="G866" s="619"/>
      <c r="H866" s="619"/>
      <c r="I866" s="412"/>
      <c r="J866" s="412"/>
      <c r="K866" s="498"/>
      <c r="L866" s="474"/>
      <c r="M866" s="471"/>
      <c r="N866" s="419"/>
      <c r="O866" s="541"/>
      <c r="P866" s="419"/>
      <c r="Q866" s="419"/>
      <c r="S866" s="414" t="str">
        <f t="shared" si="94"/>
        <v>ACESSOS/PASSADICOS - INTERLIGAÇÃO</v>
      </c>
    </row>
    <row r="867" spans="1:37" s="414" customFormat="1">
      <c r="A867" s="410" t="s">
        <v>1135</v>
      </c>
      <c r="B867" s="411"/>
      <c r="C867" s="410"/>
      <c r="D867" s="429" t="s">
        <v>2223</v>
      </c>
      <c r="E867" s="617"/>
      <c r="F867" s="413"/>
      <c r="G867" s="619"/>
      <c r="H867" s="619"/>
      <c r="I867" s="412"/>
      <c r="J867" s="412"/>
      <c r="K867" s="498"/>
      <c r="L867" s="474"/>
      <c r="M867" s="471"/>
      <c r="N867" s="419"/>
      <c r="O867" s="541"/>
      <c r="P867" s="419"/>
      <c r="Q867" s="419"/>
      <c r="S867" s="414" t="str">
        <f t="shared" si="94"/>
        <v>PASSADIÇOS E TRAVESSIAS - MONTAGEM, MANUTENCAO E REMOÇÃO</v>
      </c>
    </row>
    <row r="868" spans="1:37" s="344" customFormat="1">
      <c r="A868" s="49" t="s">
        <v>1134</v>
      </c>
      <c r="B868" s="49" t="str">
        <f>'[3]Plan Tron'!B99</f>
        <v xml:space="preserve">74219/001 </v>
      </c>
      <c r="C868" s="49" t="str">
        <f>'[3]Plan Tron'!C99</f>
        <v>SINAPI</v>
      </c>
      <c r="D868" s="130" t="str">
        <f>'[3]Plan Tron'!D99</f>
        <v>PASSADICOS COM TABUAS DE MADEIRA PARA PEDESTRES</v>
      </c>
      <c r="E868" s="77" t="str">
        <f>'[3]Plan Tron'!E99</f>
        <v>M²</v>
      </c>
      <c r="F868" s="10">
        <v>5.73</v>
      </c>
      <c r="G868" s="27">
        <v>38.39</v>
      </c>
      <c r="H868" s="27">
        <f>'[3]Plan Tron'!F99</f>
        <v>51.52</v>
      </c>
      <c r="I868" s="9">
        <v>26.44</v>
      </c>
      <c r="J868" s="9">
        <f>ROUND(H868*(I868/100+1),2)</f>
        <v>65.14</v>
      </c>
      <c r="K868" s="383">
        <v>0</v>
      </c>
      <c r="L868" s="474">
        <f>F868-K868</f>
        <v>5.73</v>
      </c>
      <c r="M868" s="471">
        <f t="shared" si="93"/>
        <v>373.25</v>
      </c>
      <c r="N868" s="405"/>
      <c r="O868" s="541"/>
      <c r="P868" s="405"/>
      <c r="Q868" s="405"/>
      <c r="S868" s="344" t="str">
        <f t="shared" si="94"/>
        <v>PASSADICOS COM TABUAS DE MADEIRA PARA PEDESTRES</v>
      </c>
    </row>
    <row r="869" spans="1:37" s="344" customFormat="1">
      <c r="A869" s="49" t="s">
        <v>1133</v>
      </c>
      <c r="B869" s="49" t="str">
        <f>'[3]Plan Tron'!B100</f>
        <v xml:space="preserve">74219/002 </v>
      </c>
      <c r="C869" s="49" t="str">
        <f>'[3]Plan Tron'!C100</f>
        <v>SINAPI</v>
      </c>
      <c r="D869" s="130" t="str">
        <f>'[3]Plan Tron'!D100</f>
        <v xml:space="preserve">PASSADICOS COM TABUAS DE MADEIRA PARA VEICULOS </v>
      </c>
      <c r="E869" s="77" t="str">
        <f>'[3]Plan Tron'!E100</f>
        <v>M²</v>
      </c>
      <c r="F869" s="10">
        <v>18.77</v>
      </c>
      <c r="G869" s="27">
        <v>33.68</v>
      </c>
      <c r="H869" s="27">
        <f>'[3]Plan Tron'!F100</f>
        <v>46.27</v>
      </c>
      <c r="I869" s="9">
        <v>26.44</v>
      </c>
      <c r="J869" s="9">
        <f>ROUND(H869*(I869/100+1),2)</f>
        <v>58.5</v>
      </c>
      <c r="K869" s="383">
        <v>0</v>
      </c>
      <c r="L869" s="474">
        <f>F869-K869</f>
        <v>18.77</v>
      </c>
      <c r="M869" s="471">
        <f t="shared" si="93"/>
        <v>1098.05</v>
      </c>
      <c r="N869" s="405"/>
      <c r="O869" s="541"/>
      <c r="P869" s="405"/>
      <c r="Q869" s="405"/>
      <c r="S869" s="344" t="str">
        <f t="shared" si="94"/>
        <v xml:space="preserve">PASSADICOS COM TABUAS DE MADEIRA PARA VEICULOS </v>
      </c>
    </row>
    <row r="870" spans="1:37" s="344" customFormat="1">
      <c r="A870" s="49"/>
      <c r="B870" s="11"/>
      <c r="C870" s="49"/>
      <c r="D870" s="17"/>
      <c r="E870" s="7"/>
      <c r="F870" s="10"/>
      <c r="G870" s="27"/>
      <c r="H870" s="27"/>
      <c r="I870" s="9"/>
      <c r="J870" s="9"/>
      <c r="K870" s="17"/>
      <c r="L870" s="474"/>
      <c r="M870" s="471"/>
      <c r="N870" s="405"/>
      <c r="O870" s="541"/>
      <c r="P870" s="405"/>
      <c r="Q870" s="405"/>
    </row>
    <row r="871" spans="1:37" s="344" customFormat="1">
      <c r="A871" s="49"/>
      <c r="B871" s="11"/>
      <c r="C871" s="49"/>
      <c r="D871" s="53" t="s">
        <v>76</v>
      </c>
      <c r="E871" s="7"/>
      <c r="F871" s="10"/>
      <c r="G871" s="27"/>
      <c r="H871" s="27"/>
      <c r="I871" s="9"/>
      <c r="J871" s="9"/>
      <c r="K871" s="383"/>
      <c r="L871" s="474"/>
      <c r="M871" s="471"/>
      <c r="N871" s="405"/>
      <c r="O871" s="541"/>
      <c r="P871" s="405"/>
      <c r="Q871" s="405"/>
      <c r="S871" s="344" t="str">
        <f>UPPER(D871)</f>
        <v/>
      </c>
    </row>
    <row r="872" spans="1:37" s="344" customFormat="1">
      <c r="A872" s="59">
        <v>11</v>
      </c>
      <c r="B872" s="11"/>
      <c r="C872" s="59"/>
      <c r="D872" s="169" t="s">
        <v>2224</v>
      </c>
      <c r="E872" s="18"/>
      <c r="F872" s="19"/>
      <c r="G872" s="36"/>
      <c r="H872" s="36"/>
      <c r="I872" s="9"/>
      <c r="J872" s="9"/>
      <c r="K872" s="383"/>
      <c r="L872" s="474"/>
      <c r="M872" s="471"/>
      <c r="N872" s="405"/>
      <c r="O872" s="541"/>
      <c r="P872" s="405"/>
      <c r="Q872" s="405"/>
      <c r="S872" s="344" t="str">
        <f>UPPER(D872)</f>
        <v xml:space="preserve">ESCORAMENTO </v>
      </c>
    </row>
    <row r="873" spans="1:37" s="414" customFormat="1">
      <c r="A873" s="650" t="s">
        <v>81</v>
      </c>
      <c r="B873" s="411"/>
      <c r="C873" s="410"/>
      <c r="D873" s="429" t="s">
        <v>2158</v>
      </c>
      <c r="E873" s="617"/>
      <c r="F873" s="422"/>
      <c r="G873" s="619"/>
      <c r="H873" s="619"/>
      <c r="I873" s="412"/>
      <c r="J873" s="412"/>
      <c r="K873" s="498"/>
      <c r="L873" s="474"/>
      <c r="M873" s="471"/>
      <c r="N873" s="419"/>
      <c r="O873" s="541"/>
      <c r="P873" s="419"/>
      <c r="Q873" s="419"/>
      <c r="S873" s="414" t="str">
        <f>UPPER(D873)</f>
        <v>ESCORAMENTO DE MADEIRA EM VALAS</v>
      </c>
    </row>
    <row r="874" spans="1:37" s="344" customFormat="1" ht="25.5">
      <c r="A874" s="49" t="s">
        <v>80</v>
      </c>
      <c r="B874" s="49">
        <f>'[3]Plan Tron'!B160</f>
        <v>94050</v>
      </c>
      <c r="C874" s="49" t="str">
        <f>'[3]Plan Tron'!C160</f>
        <v>SINAPI</v>
      </c>
      <c r="D874" s="130" t="str">
        <f>'[3]Plan Tron'!D160</f>
        <v xml:space="preserve"> ESCORAMENTO DE VALA, TIPO DESCONTÍNUO, COM PROFUNDIDADE DE 0 A 1,5 M, LARGURA MAIOR OU IGUAL A 1,5 M E MENOR QUE 2,5 M, EM LOCAL COM NÍVEL ALTO DE INTERFERÊNCIA. AF_06/2016</v>
      </c>
      <c r="E874" s="77" t="str">
        <f>'[3]Plan Tron'!E160</f>
        <v>M²</v>
      </c>
      <c r="F874" s="10">
        <v>113.82</v>
      </c>
      <c r="G874" s="27">
        <v>29.91</v>
      </c>
      <c r="H874" s="27">
        <f>'[3]Plan Tron'!F160</f>
        <v>30.61</v>
      </c>
      <c r="I874" s="9">
        <v>26.44</v>
      </c>
      <c r="J874" s="9">
        <f>ROUND(H874*(I874/100+1),2)</f>
        <v>38.700000000000003</v>
      </c>
      <c r="K874" s="383">
        <v>0</v>
      </c>
      <c r="L874" s="474">
        <f>F874-K874</f>
        <v>113.82</v>
      </c>
      <c r="M874" s="471">
        <f t="shared" si="93"/>
        <v>4404.83</v>
      </c>
      <c r="N874" s="405"/>
      <c r="O874" s="541"/>
      <c r="P874" s="405"/>
      <c r="Q874" s="405"/>
      <c r="S874" s="344" t="str">
        <f>UPPER(D874)</f>
        <v xml:space="preserve"> ESCORAMENTO DE VALA, TIPO DESCONTÍNUO, COM PROFUNDIDADE DE 0 A 1,5 M, LARGURA MAIOR OU IGUAL A 1,5 M E MENOR QUE 2,5 M, EM LOCAL COM NÍVEL ALTO DE INTERFERÊNCIA. AF_06/2016</v>
      </c>
    </row>
    <row r="875" spans="1:37">
      <c r="A875" s="49"/>
      <c r="B875" s="17"/>
      <c r="C875" s="49"/>
      <c r="D875" s="17"/>
      <c r="E875" s="7"/>
      <c r="F875" s="10"/>
      <c r="G875" s="27"/>
      <c r="H875" s="27"/>
      <c r="I875" s="27"/>
      <c r="J875" s="27"/>
      <c r="K875" s="17"/>
      <c r="L875" s="474"/>
      <c r="M875" s="472"/>
      <c r="N875" s="405"/>
      <c r="O875" s="541"/>
      <c r="P875" s="405"/>
      <c r="Q875" s="405"/>
    </row>
    <row r="876" spans="1:37">
      <c r="A876" s="49"/>
      <c r="B876" s="17"/>
      <c r="C876" s="49"/>
      <c r="D876" s="17"/>
      <c r="E876" s="7"/>
      <c r="F876" s="10"/>
      <c r="G876" s="27"/>
      <c r="H876" s="27"/>
      <c r="I876" s="27"/>
      <c r="J876" s="27"/>
      <c r="K876" s="17"/>
      <c r="L876" s="474"/>
      <c r="M876" s="471"/>
      <c r="N876" s="405"/>
      <c r="O876" s="541"/>
      <c r="P876" s="405"/>
      <c r="Q876" s="405"/>
    </row>
    <row r="877" spans="1:37" s="299" customFormat="1">
      <c r="A877" s="297"/>
      <c r="B877" s="298"/>
      <c r="C877" s="298"/>
      <c r="D877" s="511" t="s">
        <v>2361</v>
      </c>
      <c r="E877" s="297"/>
      <c r="F877" s="298"/>
      <c r="G877" s="301"/>
      <c r="H877" s="338"/>
      <c r="I877" s="298"/>
      <c r="J877" s="298"/>
      <c r="K877" s="506"/>
      <c r="L877" s="508"/>
      <c r="M877" s="505">
        <f>SUM(M769:M875)</f>
        <v>328053.47000000003</v>
      </c>
      <c r="N877" s="405"/>
      <c r="O877" s="541"/>
      <c r="P877" s="405"/>
      <c r="Q877" s="405"/>
      <c r="R877" s="388"/>
      <c r="S877" s="344" t="str">
        <f t="shared" ref="S877:S888" si="95">UPPER(D877)</f>
        <v>TOTAL ITEM 20.1</v>
      </c>
      <c r="T877" s="388"/>
      <c r="U877" s="388"/>
      <c r="V877" s="388"/>
      <c r="W877" s="388"/>
      <c r="X877" s="388"/>
      <c r="Y877" s="388"/>
      <c r="Z877" s="388"/>
      <c r="AA877" s="388"/>
      <c r="AB877" s="388"/>
      <c r="AC877" s="388"/>
      <c r="AD877" s="388"/>
      <c r="AE877" s="388"/>
      <c r="AF877" s="388"/>
      <c r="AG877" s="388"/>
      <c r="AH877" s="388"/>
      <c r="AI877" s="388"/>
      <c r="AJ877" s="388"/>
      <c r="AK877" s="388"/>
    </row>
    <row r="878" spans="1:37" s="299" customFormat="1">
      <c r="A878" s="297"/>
      <c r="B878" s="298"/>
      <c r="C878" s="298"/>
      <c r="D878" s="442" t="s">
        <v>76</v>
      </c>
      <c r="E878" s="297" t="s">
        <v>76</v>
      </c>
      <c r="F878" s="298"/>
      <c r="G878" s="301"/>
      <c r="H878" s="338"/>
      <c r="I878" s="298"/>
      <c r="J878" s="298"/>
      <c r="K878" s="341"/>
      <c r="L878" s="474"/>
      <c r="M878" s="471"/>
      <c r="N878" s="405"/>
      <c r="O878" s="541"/>
      <c r="P878" s="405"/>
      <c r="Q878" s="405"/>
      <c r="R878" s="388"/>
      <c r="S878" s="344" t="str">
        <f t="shared" si="95"/>
        <v/>
      </c>
      <c r="T878" s="388"/>
      <c r="U878" s="388"/>
      <c r="V878" s="388"/>
      <c r="W878" s="388"/>
      <c r="X878" s="388"/>
      <c r="Y878" s="388"/>
      <c r="Z878" s="388"/>
      <c r="AA878" s="388"/>
      <c r="AB878" s="388"/>
      <c r="AC878" s="388"/>
      <c r="AD878" s="388"/>
      <c r="AE878" s="388"/>
      <c r="AF878" s="388"/>
      <c r="AG878" s="388"/>
      <c r="AH878" s="388"/>
      <c r="AI878" s="388"/>
      <c r="AJ878" s="388"/>
      <c r="AK878" s="388"/>
    </row>
    <row r="879" spans="1:37" s="450" customFormat="1">
      <c r="A879" s="445" t="s">
        <v>55</v>
      </c>
      <c r="B879" s="446"/>
      <c r="C879" s="447"/>
      <c r="D879" s="448" t="s">
        <v>1989</v>
      </c>
      <c r="E879" s="453" t="s">
        <v>76</v>
      </c>
      <c r="F879" s="446"/>
      <c r="G879" s="446"/>
      <c r="H879" s="446"/>
      <c r="I879" s="446"/>
      <c r="J879" s="446"/>
      <c r="K879" s="473"/>
      <c r="L879" s="478"/>
      <c r="M879" s="479"/>
      <c r="N879" s="454"/>
      <c r="O879" s="541"/>
      <c r="P879" s="454"/>
      <c r="Q879" s="454"/>
      <c r="S879" s="450" t="str">
        <f t="shared" si="95"/>
        <v xml:space="preserve">ESTAÇÃO ELEVATÓRIA PARA ÁGUA DE RECIRCULAÇÃO DE EJETORES </v>
      </c>
    </row>
    <row r="880" spans="1:37" s="344" customFormat="1">
      <c r="A880" s="45">
        <v>1</v>
      </c>
      <c r="B880" s="23"/>
      <c r="C880" s="45"/>
      <c r="D880" s="399" t="s">
        <v>2054</v>
      </c>
      <c r="E880" s="24" t="s">
        <v>76</v>
      </c>
      <c r="F880" s="21"/>
      <c r="G880" s="10"/>
      <c r="H880" s="10"/>
      <c r="I880" s="10"/>
      <c r="J880" s="10"/>
      <c r="K880" s="383"/>
      <c r="L880" s="474"/>
      <c r="M880" s="471"/>
      <c r="N880" s="405"/>
      <c r="O880" s="541"/>
      <c r="P880" s="405"/>
      <c r="Q880" s="405"/>
      <c r="S880" s="344" t="str">
        <f t="shared" si="95"/>
        <v>FUNDAÇÕES E ESTRUTURAS</v>
      </c>
    </row>
    <row r="881" spans="1:19" s="414" customFormat="1">
      <c r="A881" s="410" t="s">
        <v>20</v>
      </c>
      <c r="B881" s="646"/>
      <c r="C881" s="410"/>
      <c r="D881" s="647" t="s">
        <v>2058</v>
      </c>
      <c r="E881" s="648" t="s">
        <v>76</v>
      </c>
      <c r="F881" s="674"/>
      <c r="G881" s="413"/>
      <c r="H881" s="413"/>
      <c r="I881" s="413"/>
      <c r="J881" s="413"/>
      <c r="K881" s="498"/>
      <c r="L881" s="474"/>
      <c r="M881" s="471"/>
      <c r="N881" s="419"/>
      <c r="O881" s="541"/>
      <c r="P881" s="419"/>
      <c r="Q881" s="419"/>
      <c r="S881" s="414" t="str">
        <f t="shared" si="95"/>
        <v>FORMAS / CIMBRAMENTOS / ESCORAMENTOS</v>
      </c>
    </row>
    <row r="882" spans="1:19" s="344" customFormat="1" ht="25.5">
      <c r="A882" s="49" t="s">
        <v>153</v>
      </c>
      <c r="B882" s="49" t="str">
        <f>'[3]Plan Tron'!B74</f>
        <v xml:space="preserve">92264 </v>
      </c>
      <c r="C882" s="49" t="str">
        <f>'[3]Plan Tron'!C74</f>
        <v>SINAPI</v>
      </c>
      <c r="D882" s="118" t="str">
        <f>'[3]Plan Tron'!D74</f>
        <v>FABRICAÇÃO DE FÔRMA PARA PILARES E ESTRUTURAS SIMILARES, EM CHAPA DE MADEIRA COMPENSADA PLASTIFICADA, E = 18 MM. AF_12/2015</v>
      </c>
      <c r="E882" s="34" t="str">
        <f>'[3]Plan Tron'!E74</f>
        <v>M²</v>
      </c>
      <c r="F882" s="21">
        <v>1.01</v>
      </c>
      <c r="G882" s="10">
        <v>32.619999999999997</v>
      </c>
      <c r="H882" s="10">
        <f>'[3]Plan Tron'!F74</f>
        <v>99.07</v>
      </c>
      <c r="I882" s="10">
        <v>26.44</v>
      </c>
      <c r="J882" s="10">
        <f>ROUND(H882*(I882/100+1),2)</f>
        <v>125.26</v>
      </c>
      <c r="K882" s="383">
        <v>0</v>
      </c>
      <c r="L882" s="474">
        <f>F882-K882</f>
        <v>1.01</v>
      </c>
      <c r="M882" s="471">
        <f t="shared" ref="M882:M897" si="96">ROUND(L882*J882,2)</f>
        <v>126.51</v>
      </c>
      <c r="N882" s="405"/>
      <c r="O882" s="541"/>
      <c r="P882" s="405"/>
      <c r="Q882" s="405"/>
      <c r="S882" s="344" t="str">
        <f t="shared" si="95"/>
        <v>FABRICAÇÃO DE FÔRMA PARA PILARES E ESTRUTURAS SIMILARES, EM CHAPA DE MADEIRA COMPENSADA PLASTIFICADA, E = 18 MM. AF_12/2015</v>
      </c>
    </row>
    <row r="883" spans="1:19" s="414" customFormat="1">
      <c r="A883" s="410" t="s">
        <v>19</v>
      </c>
      <c r="B883" s="673"/>
      <c r="C883" s="410"/>
      <c r="D883" s="637" t="s">
        <v>2059</v>
      </c>
      <c r="E883" s="638" t="s">
        <v>76</v>
      </c>
      <c r="F883" s="677"/>
      <c r="G883" s="413"/>
      <c r="H883" s="413"/>
      <c r="I883" s="413"/>
      <c r="J883" s="413"/>
      <c r="K883" s="498"/>
      <c r="L883" s="474"/>
      <c r="M883" s="471"/>
      <c r="N883" s="419"/>
      <c r="O883" s="541"/>
      <c r="P883" s="419"/>
      <c r="Q883" s="419"/>
      <c r="S883" s="414" t="str">
        <f t="shared" si="95"/>
        <v>ARMADURAS</v>
      </c>
    </row>
    <row r="884" spans="1:19" s="414" customFormat="1">
      <c r="A884" s="410" t="s">
        <v>147</v>
      </c>
      <c r="B884" s="673"/>
      <c r="C884" s="410"/>
      <c r="D884" s="637" t="s">
        <v>2060</v>
      </c>
      <c r="E884" s="638" t="s">
        <v>76</v>
      </c>
      <c r="F884" s="679"/>
      <c r="G884" s="413"/>
      <c r="H884" s="413"/>
      <c r="I884" s="413"/>
      <c r="J884" s="413"/>
      <c r="K884" s="498"/>
      <c r="L884" s="474"/>
      <c r="M884" s="471"/>
      <c r="N884" s="419"/>
      <c r="O884" s="541"/>
      <c r="P884" s="419"/>
      <c r="Q884" s="419"/>
      <c r="S884" s="414" t="str">
        <f t="shared" si="95"/>
        <v>ARMAÇÃO EM AÇO CA-50 PARA ESTRUTURAS DE CONCRETO.</v>
      </c>
    </row>
    <row r="885" spans="1:19" s="344" customFormat="1" ht="25.5">
      <c r="A885" s="49" t="s">
        <v>146</v>
      </c>
      <c r="B885" s="49">
        <f>'[3]Plan Tron'!B21</f>
        <v>92761</v>
      </c>
      <c r="C885" s="49" t="str">
        <f>'[3]Plan Tron'!C21</f>
        <v>SINAPI</v>
      </c>
      <c r="D885" s="118" t="str">
        <f>'[3]Plan Tron'!D21</f>
        <v>ARMAÇÃO DE PILAR OU VIGA DE UMA ESTRUTURA CONVENCIONAL DE CONCRETO ARMADO EM UM EDIFÍCIO DE MÚLTIPLOS PAVIMENTOS UTILIZANDO AÇO CA-50 DE 8.0MM - MONTAGEM. AF_12/2015</v>
      </c>
      <c r="E885" s="678" t="str">
        <f>'[3]Plan Tron'!E21</f>
        <v>KG</v>
      </c>
      <c r="F885" s="21">
        <v>14.7</v>
      </c>
      <c r="G885" s="10">
        <f>G85</f>
        <v>5.9</v>
      </c>
      <c r="H885" s="10">
        <f>'[3]Plan Tron'!F21</f>
        <v>9.44</v>
      </c>
      <c r="I885" s="10">
        <v>26.44</v>
      </c>
      <c r="J885" s="10">
        <f>ROUND(H885*(I885/100+1),2)</f>
        <v>11.94</v>
      </c>
      <c r="K885" s="383">
        <v>0</v>
      </c>
      <c r="L885" s="474">
        <f>F885-K885</f>
        <v>14.7</v>
      </c>
      <c r="M885" s="471">
        <f t="shared" si="96"/>
        <v>175.52</v>
      </c>
      <c r="N885" s="405"/>
      <c r="O885" s="541"/>
      <c r="P885" s="405"/>
      <c r="Q885" s="405"/>
      <c r="S885" s="344" t="str">
        <f t="shared" si="95"/>
        <v>ARMAÇÃO DE PILAR OU VIGA DE UMA ESTRUTURA CONVENCIONAL DE CONCRETO ARMADO EM UM EDIFÍCIO DE MÚLTIPLOS PAVIMENTOS UTILIZANDO AÇO CA-50 DE 8.0MM - MONTAGEM. AF_12/2015</v>
      </c>
    </row>
    <row r="886" spans="1:19" s="414" customFormat="1">
      <c r="A886" s="410" t="s">
        <v>18</v>
      </c>
      <c r="B886" s="646"/>
      <c r="C886" s="410"/>
      <c r="D886" s="647" t="s">
        <v>2061</v>
      </c>
      <c r="E886" s="648" t="s">
        <v>76</v>
      </c>
      <c r="F886" s="674"/>
      <c r="G886" s="413"/>
      <c r="H886" s="413"/>
      <c r="I886" s="413"/>
      <c r="J886" s="413"/>
      <c r="K886" s="498"/>
      <c r="L886" s="474"/>
      <c r="M886" s="471"/>
      <c r="N886" s="419"/>
      <c r="O886" s="541"/>
      <c r="P886" s="419"/>
      <c r="Q886" s="419"/>
      <c r="S886" s="414" t="str">
        <f t="shared" si="95"/>
        <v>CONCRETOS</v>
      </c>
    </row>
    <row r="887" spans="1:19" s="414" customFormat="1">
      <c r="A887" s="410" t="s">
        <v>201</v>
      </c>
      <c r="B887" s="673"/>
      <c r="C887" s="410"/>
      <c r="D887" s="637" t="s">
        <v>2062</v>
      </c>
      <c r="E887" s="638" t="s">
        <v>76</v>
      </c>
      <c r="F887" s="679"/>
      <c r="G887" s="413"/>
      <c r="H887" s="413"/>
      <c r="I887" s="413"/>
      <c r="J887" s="413"/>
      <c r="K887" s="498"/>
      <c r="L887" s="474"/>
      <c r="M887" s="471"/>
      <c r="N887" s="419"/>
      <c r="O887" s="541"/>
      <c r="P887" s="419"/>
      <c r="Q887" s="419"/>
      <c r="S887" s="414" t="str">
        <f t="shared" si="95"/>
        <v>CONCRETO BOMBEADO</v>
      </c>
    </row>
    <row r="888" spans="1:19" s="344" customFormat="1">
      <c r="A888" s="49" t="s">
        <v>888</v>
      </c>
      <c r="B888" s="49">
        <f>'[3]Plan Tron'!B27</f>
        <v>110132</v>
      </c>
      <c r="C888" s="49" t="str">
        <f>'[3]Plan Tron'!C27</f>
        <v>CPOS</v>
      </c>
      <c r="D888" s="118" t="str">
        <f>'[3]Plan Tron'!D27</f>
        <v xml:space="preserve">CONCRETO USINADO, FCK=30MPa - PARA BOMBEAMENTO </v>
      </c>
      <c r="E888" s="678" t="str">
        <f>'[3]Plan Tron'!E27</f>
        <v>M³</v>
      </c>
      <c r="F888" s="21">
        <v>0.15</v>
      </c>
      <c r="G888" s="10">
        <v>336.65</v>
      </c>
      <c r="H888" s="10">
        <f>'[3]Plan Tron'!F27</f>
        <v>311.94</v>
      </c>
      <c r="I888" s="10">
        <v>26.44</v>
      </c>
      <c r="J888" s="10">
        <f>ROUND(H888*(I888/100+1),2)</f>
        <v>394.42</v>
      </c>
      <c r="K888" s="383">
        <v>0</v>
      </c>
      <c r="L888" s="474">
        <f>F888-K888</f>
        <v>0.15</v>
      </c>
      <c r="M888" s="471">
        <f t="shared" si="96"/>
        <v>59.16</v>
      </c>
      <c r="N888" s="405"/>
      <c r="O888" s="541"/>
      <c r="P888" s="405"/>
      <c r="Q888" s="405"/>
      <c r="S888" s="344" t="str">
        <f t="shared" si="95"/>
        <v xml:space="preserve">CONCRETO USINADO, FCK=30MPA - PARA BOMBEAMENTO </v>
      </c>
    </row>
    <row r="889" spans="1:19" s="344" customFormat="1">
      <c r="A889" s="49"/>
      <c r="B889" s="17"/>
      <c r="C889" s="49"/>
      <c r="D889" s="17"/>
      <c r="E889" s="7"/>
      <c r="F889" s="10"/>
      <c r="G889" s="21"/>
      <c r="H889" s="21"/>
      <c r="I889" s="10"/>
      <c r="J889" s="10"/>
      <c r="K889" s="17"/>
      <c r="L889" s="474"/>
      <c r="M889" s="471"/>
      <c r="N889" s="405"/>
      <c r="O889" s="541"/>
      <c r="P889" s="405"/>
      <c r="Q889" s="405"/>
    </row>
    <row r="890" spans="1:19" s="344" customFormat="1">
      <c r="A890" s="49"/>
      <c r="B890" s="17"/>
      <c r="C890" s="49"/>
      <c r="D890" s="53" t="s">
        <v>76</v>
      </c>
      <c r="E890" s="7" t="s">
        <v>76</v>
      </c>
      <c r="F890" s="10"/>
      <c r="G890" s="10"/>
      <c r="H890" s="10"/>
      <c r="I890" s="10"/>
      <c r="J890" s="10"/>
      <c r="K890" s="383"/>
      <c r="L890" s="474"/>
      <c r="M890" s="471"/>
      <c r="N890" s="405"/>
      <c r="O890" s="541"/>
      <c r="P890" s="405"/>
      <c r="Q890" s="405"/>
      <c r="S890" s="344" t="str">
        <f>UPPER(D890)</f>
        <v/>
      </c>
    </row>
    <row r="891" spans="1:19" s="344" customFormat="1">
      <c r="A891" s="122">
        <v>2</v>
      </c>
      <c r="B891" s="123"/>
      <c r="C891" s="122"/>
      <c r="D891" s="180" t="s">
        <v>2107</v>
      </c>
      <c r="E891" s="119" t="s">
        <v>76</v>
      </c>
      <c r="F891" s="120"/>
      <c r="G891" s="121"/>
      <c r="H891" s="121"/>
      <c r="I891" s="10"/>
      <c r="J891" s="10"/>
      <c r="K891" s="383"/>
      <c r="L891" s="474"/>
      <c r="M891" s="471"/>
      <c r="N891" s="405"/>
      <c r="O891" s="541"/>
      <c r="P891" s="405"/>
      <c r="Q891" s="405"/>
      <c r="S891" s="344" t="str">
        <f>UPPER(D891)</f>
        <v>PINTURAS</v>
      </c>
    </row>
    <row r="892" spans="1:19" s="414" customFormat="1">
      <c r="A892" s="684" t="s">
        <v>9</v>
      </c>
      <c r="B892" s="411"/>
      <c r="C892" s="410"/>
      <c r="D892" s="429" t="s">
        <v>2113</v>
      </c>
      <c r="E892" s="617" t="s">
        <v>76</v>
      </c>
      <c r="F892" s="422"/>
      <c r="G892" s="422"/>
      <c r="H892" s="422"/>
      <c r="I892" s="413"/>
      <c r="J892" s="413"/>
      <c r="K892" s="498"/>
      <c r="L892" s="474"/>
      <c r="M892" s="471"/>
      <c r="N892" s="419"/>
      <c r="O892" s="541"/>
      <c r="P892" s="419"/>
      <c r="Q892" s="419"/>
      <c r="S892" s="414" t="str">
        <f>UPPER(D892)</f>
        <v>PINTURA EM CONCRETO APARENTE</v>
      </c>
    </row>
    <row r="893" spans="1:19" s="344" customFormat="1">
      <c r="A893" s="126" t="s">
        <v>348</v>
      </c>
      <c r="B893" s="49">
        <f>'[3]Plan Tron'!B75</f>
        <v>84678</v>
      </c>
      <c r="C893" s="49" t="str">
        <f>'[3]Plan Tron'!C75</f>
        <v>SINAPI</v>
      </c>
      <c r="D893" s="130" t="str">
        <f>'[3]Plan Tron'!D75</f>
        <v xml:space="preserve">VERNIZ POLIURETANO BRILHANTE EM CONCRETO OU TIJOLO, TRES DEMAOS </v>
      </c>
      <c r="E893" s="77" t="str">
        <f>'[3]Plan Tron'!E75</f>
        <v>M²</v>
      </c>
      <c r="F893" s="21">
        <v>1.01</v>
      </c>
      <c r="G893" s="21">
        <v>11.75</v>
      </c>
      <c r="H893" s="21">
        <f>'[3]Plan Tron'!F75</f>
        <v>16.84</v>
      </c>
      <c r="I893" s="10">
        <v>26.44</v>
      </c>
      <c r="J893" s="10">
        <f>ROUND(H893*(I893/100+1),2)</f>
        <v>21.29</v>
      </c>
      <c r="K893" s="383">
        <v>0</v>
      </c>
      <c r="L893" s="474">
        <f>F893-K893</f>
        <v>1.01</v>
      </c>
      <c r="M893" s="471">
        <f t="shared" si="96"/>
        <v>21.5</v>
      </c>
      <c r="N893" s="405"/>
      <c r="O893" s="541"/>
      <c r="P893" s="405"/>
      <c r="Q893" s="405"/>
      <c r="S893" s="344" t="str">
        <f>UPPER(D893)</f>
        <v xml:space="preserve">VERNIZ POLIURETANO BRILHANTE EM CONCRETO OU TIJOLO, TRES DEMAOS </v>
      </c>
    </row>
    <row r="894" spans="1:19">
      <c r="A894" s="49"/>
      <c r="B894" s="17"/>
      <c r="C894" s="49"/>
      <c r="D894" s="123"/>
      <c r="E894" s="7"/>
      <c r="F894" s="10"/>
      <c r="G894" s="10"/>
      <c r="H894" s="10"/>
      <c r="I894" s="10"/>
      <c r="J894" s="10"/>
      <c r="K894" s="123"/>
      <c r="L894" s="474"/>
      <c r="M894" s="471"/>
      <c r="N894" s="405"/>
      <c r="O894" s="541"/>
      <c r="P894" s="405"/>
      <c r="Q894" s="405"/>
    </row>
    <row r="895" spans="1:19">
      <c r="A895" s="49"/>
      <c r="B895" s="17"/>
      <c r="C895" s="49"/>
      <c r="D895" s="53" t="s">
        <v>76</v>
      </c>
      <c r="E895" s="7" t="s">
        <v>76</v>
      </c>
      <c r="F895" s="10"/>
      <c r="G895" s="21"/>
      <c r="H895" s="21"/>
      <c r="I895" s="10"/>
      <c r="J895" s="10"/>
      <c r="K895" s="383"/>
      <c r="L895" s="474"/>
      <c r="M895" s="471"/>
      <c r="N895" s="405"/>
      <c r="O895" s="541"/>
      <c r="P895" s="405"/>
      <c r="Q895" s="405"/>
      <c r="S895" s="344" t="str">
        <f>UPPER(D895)</f>
        <v/>
      </c>
    </row>
    <row r="896" spans="1:19">
      <c r="A896" s="67">
        <v>3</v>
      </c>
      <c r="B896" s="71"/>
      <c r="C896" s="67"/>
      <c r="D896" s="400" t="s">
        <v>2109</v>
      </c>
      <c r="E896" s="32" t="s">
        <v>76</v>
      </c>
      <c r="F896" s="8"/>
      <c r="G896" s="62"/>
      <c r="H896" s="62"/>
      <c r="I896" s="10"/>
      <c r="J896" s="10"/>
      <c r="K896" s="383"/>
      <c r="L896" s="474"/>
      <c r="M896" s="471"/>
      <c r="N896" s="405"/>
      <c r="O896" s="541"/>
      <c r="P896" s="405"/>
      <c r="Q896" s="405"/>
      <c r="S896" s="344" t="str">
        <f>UPPER(D896)</f>
        <v>MONTAGEM DE MATERIAIS E EQUIPAMENTOS HIDRÁULICOS, HIDROMECÂNICOS E DIVERSOS</v>
      </c>
    </row>
    <row r="897" spans="1:37" s="344" customFormat="1" ht="25.5">
      <c r="A897" s="69" t="s">
        <v>144</v>
      </c>
      <c r="B897" s="11" t="s">
        <v>308</v>
      </c>
      <c r="C897" s="69"/>
      <c r="D897" s="84" t="s">
        <v>2170</v>
      </c>
      <c r="E897" s="24" t="s">
        <v>2339</v>
      </c>
      <c r="F897" s="10">
        <v>1</v>
      </c>
      <c r="G897" s="21">
        <v>1576.16</v>
      </c>
      <c r="H897" s="9">
        <f t="shared" ref="H897" si="97">G897*$P$7</f>
        <v>1820.9376480000001</v>
      </c>
      <c r="I897" s="10">
        <v>26.44</v>
      </c>
      <c r="J897" s="10">
        <f>ROUND(H897*(I897/100+1),2)</f>
        <v>2302.39</v>
      </c>
      <c r="K897" s="383">
        <v>0</v>
      </c>
      <c r="L897" s="474">
        <f>F897-K897</f>
        <v>1</v>
      </c>
      <c r="M897" s="471">
        <f t="shared" si="96"/>
        <v>2302.39</v>
      </c>
      <c r="N897" s="405"/>
      <c r="O897" s="541"/>
      <c r="P897" s="405"/>
      <c r="Q897" s="405"/>
      <c r="S897" s="344" t="str">
        <f>UPPER(D897)</f>
        <v>MONTAGEM HIDRÁULICA E HIDROMECÂNICA DE EQUIPAMENTOS, VÁLVULAS, TUBOS, PEÇAS E ACESSÓRIOS DA LISTA DE MATERIAIS DA ESTAÇÃO ELEVATÓRIA DE LODO.</v>
      </c>
    </row>
    <row r="898" spans="1:37">
      <c r="A898" s="69"/>
      <c r="B898" s="112"/>
      <c r="C898" s="69"/>
      <c r="D898" s="112"/>
      <c r="E898" s="32"/>
      <c r="F898" s="8"/>
      <c r="G898" s="317"/>
      <c r="H898" s="8"/>
      <c r="I898" s="8"/>
      <c r="J898" s="8"/>
      <c r="K898" s="112"/>
      <c r="L898" s="474"/>
      <c r="M898" s="472"/>
      <c r="N898" s="405"/>
      <c r="O898" s="541"/>
      <c r="P898" s="405"/>
      <c r="Q898" s="405"/>
    </row>
    <row r="899" spans="1:37">
      <c r="A899" s="69"/>
      <c r="B899" s="112"/>
      <c r="C899" s="69"/>
      <c r="D899" s="112"/>
      <c r="E899" s="32"/>
      <c r="F899" s="8"/>
      <c r="G899" s="317"/>
      <c r="H899" s="8"/>
      <c r="I899" s="8"/>
      <c r="J899" s="8"/>
      <c r="K899" s="112"/>
      <c r="L899" s="474"/>
      <c r="M899" s="472"/>
      <c r="N899" s="405"/>
      <c r="O899" s="541"/>
      <c r="P899" s="405"/>
      <c r="Q899" s="405"/>
    </row>
    <row r="900" spans="1:37" s="299" customFormat="1">
      <c r="A900" s="297"/>
      <c r="B900" s="298"/>
      <c r="C900" s="298"/>
      <c r="D900" s="513" t="s">
        <v>2362</v>
      </c>
      <c r="E900" s="297"/>
      <c r="F900" s="298"/>
      <c r="G900" s="301"/>
      <c r="H900" s="338"/>
      <c r="I900" s="298"/>
      <c r="J900" s="298"/>
      <c r="K900" s="513"/>
      <c r="L900" s="508"/>
      <c r="M900" s="505">
        <f>SUM(M882:M898)</f>
        <v>2685.08</v>
      </c>
      <c r="N900" s="405"/>
      <c r="O900" s="541"/>
      <c r="P900" s="405"/>
      <c r="Q900" s="405"/>
      <c r="R900" s="388"/>
      <c r="S900" s="344" t="str">
        <f>UPPER(K900)</f>
        <v/>
      </c>
      <c r="T900" s="388"/>
      <c r="U900" s="388"/>
      <c r="V900" s="388"/>
      <c r="W900" s="388"/>
      <c r="X900" s="388"/>
      <c r="Y900" s="388"/>
      <c r="Z900" s="388"/>
      <c r="AA900" s="388"/>
      <c r="AB900" s="388"/>
      <c r="AC900" s="388"/>
      <c r="AD900" s="388"/>
      <c r="AE900" s="388"/>
      <c r="AF900" s="388"/>
      <c r="AG900" s="388"/>
      <c r="AH900" s="388"/>
      <c r="AI900" s="388"/>
      <c r="AJ900" s="388"/>
      <c r="AK900" s="388"/>
    </row>
    <row r="901" spans="1:37" s="299" customFormat="1">
      <c r="A901" s="297"/>
      <c r="B901" s="298"/>
      <c r="C901" s="298"/>
      <c r="D901" s="442" t="s">
        <v>76</v>
      </c>
      <c r="E901" s="297" t="s">
        <v>76</v>
      </c>
      <c r="F901" s="298"/>
      <c r="G901" s="301"/>
      <c r="H901" s="338"/>
      <c r="I901" s="298"/>
      <c r="J901" s="298"/>
      <c r="K901" s="341"/>
      <c r="L901" s="474"/>
      <c r="M901" s="471"/>
      <c r="N901" s="405"/>
      <c r="O901" s="541"/>
      <c r="P901" s="405"/>
      <c r="Q901" s="405"/>
      <c r="R901" s="388"/>
      <c r="S901" s="344" t="str">
        <f t="shared" ref="S901:S935" si="98">UPPER(D901)</f>
        <v/>
      </c>
      <c r="T901" s="388"/>
      <c r="U901" s="388"/>
      <c r="V901" s="388"/>
      <c r="W901" s="388"/>
      <c r="X901" s="388"/>
      <c r="Y901" s="388"/>
      <c r="Z901" s="388"/>
      <c r="AA901" s="388"/>
      <c r="AB901" s="388"/>
      <c r="AC901" s="388"/>
      <c r="AD901" s="388"/>
      <c r="AE901" s="388"/>
      <c r="AF901" s="388"/>
      <c r="AG901" s="388"/>
      <c r="AH901" s="388"/>
      <c r="AI901" s="388"/>
      <c r="AJ901" s="388"/>
      <c r="AK901" s="388"/>
    </row>
    <row r="902" spans="1:37" s="450" customFormat="1">
      <c r="A902" s="445" t="s">
        <v>54</v>
      </c>
      <c r="B902" s="446"/>
      <c r="C902" s="447"/>
      <c r="D902" s="448" t="s">
        <v>1999</v>
      </c>
      <c r="E902" s="453" t="s">
        <v>76</v>
      </c>
      <c r="F902" s="446"/>
      <c r="G902" s="446"/>
      <c r="H902" s="446"/>
      <c r="I902" s="446"/>
      <c r="J902" s="446"/>
      <c r="K902" s="473"/>
      <c r="L902" s="478"/>
      <c r="M902" s="479"/>
      <c r="N902" s="454"/>
      <c r="O902" s="541"/>
      <c r="P902" s="454"/>
      <c r="Q902" s="454"/>
      <c r="S902" s="450" t="str">
        <f t="shared" si="98"/>
        <v>INSTALAÇÕES ELÉTRICAS (DESINFECÇÃO POR GÁS CLORO)</v>
      </c>
    </row>
    <row r="903" spans="1:37">
      <c r="A903" s="45"/>
      <c r="B903" s="57"/>
      <c r="C903" s="45"/>
      <c r="D903" s="53" t="s">
        <v>2225</v>
      </c>
      <c r="E903" s="47" t="s">
        <v>76</v>
      </c>
      <c r="F903" s="48"/>
      <c r="G903" s="312"/>
      <c r="H903" s="9"/>
      <c r="I903" s="9"/>
      <c r="J903" s="9"/>
      <c r="K903" s="383"/>
      <c r="L903" s="474"/>
      <c r="M903" s="471"/>
      <c r="N903" s="405"/>
      <c r="O903" s="541"/>
      <c r="P903" s="405"/>
      <c r="Q903" s="405"/>
      <c r="S903" s="344" t="str">
        <f t="shared" si="98"/>
        <v>MONTAGEM DE MATERIAIS E EQUIPAMENTOS ELÉTRICOS, DE AUTOMAÇÃO E DIVERSOS - CASA DE CLORAÇÃO</v>
      </c>
    </row>
    <row r="904" spans="1:37">
      <c r="A904" s="45">
        <v>1</v>
      </c>
      <c r="B904" s="57"/>
      <c r="C904" s="45"/>
      <c r="D904" s="53" t="s">
        <v>2226</v>
      </c>
      <c r="E904" s="47" t="s">
        <v>76</v>
      </c>
      <c r="F904" s="48"/>
      <c r="G904" s="9"/>
      <c r="H904" s="9"/>
      <c r="I904" s="9"/>
      <c r="J904" s="9"/>
      <c r="K904" s="383"/>
      <c r="L904" s="474"/>
      <c r="M904" s="471"/>
      <c r="N904" s="405"/>
      <c r="O904" s="541"/>
      <c r="P904" s="405"/>
      <c r="Q904" s="405"/>
      <c r="S904" s="344" t="str">
        <f t="shared" si="98"/>
        <v>MONTAGEM ELÉTRICA - CASA DE CLORAÇÃO</v>
      </c>
    </row>
    <row r="905" spans="1:37" s="344" customFormat="1">
      <c r="A905" s="49" t="s">
        <v>20</v>
      </c>
      <c r="B905" s="60" t="s">
        <v>1144</v>
      </c>
      <c r="C905" s="49"/>
      <c r="D905" s="130" t="s">
        <v>2208</v>
      </c>
      <c r="E905" s="7" t="s">
        <v>2337</v>
      </c>
      <c r="F905" s="27">
        <v>1</v>
      </c>
      <c r="G905" s="9">
        <v>1816.4</v>
      </c>
      <c r="H905" s="9">
        <f t="shared" ref="H905" si="99">G905*$P$7</f>
        <v>2098.4869200000003</v>
      </c>
      <c r="I905" s="131">
        <v>26.44</v>
      </c>
      <c r="J905" s="131">
        <f>ROUND(H905*(I905/100+1),2)</f>
        <v>2653.33</v>
      </c>
      <c r="K905" s="383">
        <v>0</v>
      </c>
      <c r="L905" s="474">
        <f>F905-K905</f>
        <v>1</v>
      </c>
      <c r="M905" s="471">
        <f t="shared" ref="M905:M935" si="100">ROUND(L905*J905,2)</f>
        <v>2653.33</v>
      </c>
      <c r="N905" s="405"/>
      <c r="O905" s="541"/>
      <c r="P905" s="405"/>
      <c r="Q905" s="405"/>
      <c r="S905" s="344" t="str">
        <f t="shared" si="98"/>
        <v>MONTAGEM DE MATERIAS E EQUIPAMENTOS ELÉTRICOS</v>
      </c>
    </row>
    <row r="906" spans="1:37" s="414" customFormat="1">
      <c r="A906" s="410" t="s">
        <v>19</v>
      </c>
      <c r="B906" s="641"/>
      <c r="C906" s="410"/>
      <c r="D906" s="429" t="s">
        <v>2090</v>
      </c>
      <c r="E906" s="617" t="s">
        <v>76</v>
      </c>
      <c r="F906" s="619"/>
      <c r="G906" s="412"/>
      <c r="H906" s="412"/>
      <c r="I906" s="642"/>
      <c r="J906" s="642"/>
      <c r="K906" s="498"/>
      <c r="L906" s="474"/>
      <c r="M906" s="471"/>
      <c r="N906" s="419"/>
      <c r="O906" s="541"/>
      <c r="P906" s="419"/>
      <c r="Q906" s="419"/>
      <c r="S906" s="414" t="str">
        <f t="shared" si="98"/>
        <v>FIOS E CABOS</v>
      </c>
    </row>
    <row r="907" spans="1:37" s="344" customFormat="1">
      <c r="A907" s="49" t="s">
        <v>147</v>
      </c>
      <c r="B907" s="50">
        <f>'[3]Plan Tron'!B132</f>
        <v>390216</v>
      </c>
      <c r="C907" s="49" t="str">
        <f>'[3]Plan Tron'!C132</f>
        <v>CPOS</v>
      </c>
      <c r="D907" s="714" t="str">
        <f>UPPER('[3]Plan Tron'!D132)</f>
        <v>CABO DE COBRE DE 2,5 MM², ISOLAMENTO 750 V - ISOLAÇÃO EM PVC 70°C COR AZUL</v>
      </c>
      <c r="E907" s="672" t="str">
        <f>'[3]Plan Tron'!E132</f>
        <v>M</v>
      </c>
      <c r="F907" s="135">
        <v>100</v>
      </c>
      <c r="G907" s="9">
        <f>G732</f>
        <v>2.2799999999999998</v>
      </c>
      <c r="H907" s="9">
        <f>'[3]Plan Tron'!F132</f>
        <v>2.25</v>
      </c>
      <c r="I907" s="131">
        <v>26.44</v>
      </c>
      <c r="J907" s="131">
        <f>ROUND(H907*(I907/100+1),2)</f>
        <v>2.84</v>
      </c>
      <c r="K907" s="383">
        <v>0</v>
      </c>
      <c r="L907" s="474">
        <f t="shared" ref="L907:L923" si="101">F907-K907</f>
        <v>100</v>
      </c>
      <c r="M907" s="471">
        <f t="shared" si="100"/>
        <v>284</v>
      </c>
      <c r="N907" s="405"/>
      <c r="O907" s="541"/>
      <c r="P907" s="405"/>
      <c r="Q907" s="405"/>
      <c r="S907" s="344" t="str">
        <f t="shared" si="98"/>
        <v>CABO DE COBRE DE 2,5 MM², ISOLAMENTO 750 V - ISOLAÇÃO EM PVC 70°C COR AZUL</v>
      </c>
    </row>
    <row r="908" spans="1:37" s="344" customFormat="1">
      <c r="A908" s="49" t="s">
        <v>213</v>
      </c>
      <c r="B908" s="50">
        <f>'[3]Plan Tron'!B133</f>
        <v>390216</v>
      </c>
      <c r="C908" s="49" t="str">
        <f>'[3]Plan Tron'!C133</f>
        <v>CPOS</v>
      </c>
      <c r="D908" s="714" t="str">
        <f>UPPER('[3]Plan Tron'!D133)</f>
        <v>CABO DE COBRE DE 2,5 MM², ISOLAMENTO 750 V - ISOLAÇÃO EM PVC 70°C COR PRETO</v>
      </c>
      <c r="E908" s="672" t="str">
        <f>'[3]Plan Tron'!E133</f>
        <v>M</v>
      </c>
      <c r="F908" s="135">
        <v>100</v>
      </c>
      <c r="G908" s="9">
        <f>G732</f>
        <v>2.2799999999999998</v>
      </c>
      <c r="H908" s="9">
        <f>'[3]Plan Tron'!F133</f>
        <v>2.25</v>
      </c>
      <c r="I908" s="131">
        <v>26.44</v>
      </c>
      <c r="J908" s="131">
        <f t="shared" ref="J908:J925" si="102">ROUND(H908*(I908/100+1),2)</f>
        <v>2.84</v>
      </c>
      <c r="K908" s="383">
        <v>0</v>
      </c>
      <c r="L908" s="474">
        <f t="shared" si="101"/>
        <v>100</v>
      </c>
      <c r="M908" s="471">
        <f t="shared" si="100"/>
        <v>284</v>
      </c>
      <c r="N908" s="405"/>
      <c r="O908" s="541"/>
      <c r="P908" s="405"/>
      <c r="Q908" s="405"/>
      <c r="S908" s="344" t="str">
        <f t="shared" si="98"/>
        <v>CABO DE COBRE DE 2,5 MM², ISOLAMENTO 750 V - ISOLAÇÃO EM PVC 70°C COR PRETO</v>
      </c>
    </row>
    <row r="909" spans="1:37" s="344" customFormat="1">
      <c r="A909" s="49" t="s">
        <v>212</v>
      </c>
      <c r="B909" s="50">
        <f>'[3]Plan Tron'!B134</f>
        <v>390216</v>
      </c>
      <c r="C909" s="49" t="str">
        <f>'[3]Plan Tron'!C134</f>
        <v>CPOS</v>
      </c>
      <c r="D909" s="714" t="str">
        <f>UPPER('[3]Plan Tron'!D134)</f>
        <v>CABO DE COBRE DE 2,5 MM², ISOLAMENTO 750 V - ISOLAÇÃO EM PVC 70°C COR VERDE</v>
      </c>
      <c r="E909" s="672" t="str">
        <f>'[3]Plan Tron'!E134</f>
        <v>M</v>
      </c>
      <c r="F909" s="135">
        <v>100</v>
      </c>
      <c r="G909" s="9">
        <f>G732</f>
        <v>2.2799999999999998</v>
      </c>
      <c r="H909" s="9">
        <f>'[3]Plan Tron'!F134</f>
        <v>2.25</v>
      </c>
      <c r="I909" s="131">
        <v>26.44</v>
      </c>
      <c r="J909" s="131">
        <f t="shared" si="102"/>
        <v>2.84</v>
      </c>
      <c r="K909" s="383">
        <v>0</v>
      </c>
      <c r="L909" s="474">
        <f t="shared" si="101"/>
        <v>100</v>
      </c>
      <c r="M909" s="471">
        <f t="shared" si="100"/>
        <v>284</v>
      </c>
      <c r="N909" s="405"/>
      <c r="O909" s="541"/>
      <c r="P909" s="405"/>
      <c r="Q909" s="405"/>
      <c r="S909" s="344" t="str">
        <f t="shared" si="98"/>
        <v>CABO DE COBRE DE 2,5 MM², ISOLAMENTO 750 V - ISOLAÇÃO EM PVC 70°C COR VERDE</v>
      </c>
    </row>
    <row r="910" spans="1:37" s="344" customFormat="1">
      <c r="A910" s="49" t="s">
        <v>211</v>
      </c>
      <c r="B910" s="50">
        <f>'[3]Plan Tron'!B135</f>
        <v>390201</v>
      </c>
      <c r="C910" s="49" t="str">
        <f>'[3]Plan Tron'!C135</f>
        <v>CPOS</v>
      </c>
      <c r="D910" s="714" t="str">
        <f>UPPER('[3]Plan Tron'!D135)</f>
        <v>CABO DE COBRE DE 1,5 MM², ISOLAMENTO 750 V - ISOLAÇÃO EM PVC 70°C  COR BRANCO</v>
      </c>
      <c r="E910" s="672" t="str">
        <f>'[3]Plan Tron'!E135</f>
        <v>M</v>
      </c>
      <c r="F910" s="135">
        <v>100</v>
      </c>
      <c r="G910" s="9">
        <f>G735</f>
        <v>1.73</v>
      </c>
      <c r="H910" s="9">
        <f>'[3]Plan Tron'!F135</f>
        <v>1.62</v>
      </c>
      <c r="I910" s="131">
        <v>26.44</v>
      </c>
      <c r="J910" s="131">
        <f t="shared" si="102"/>
        <v>2.0499999999999998</v>
      </c>
      <c r="K910" s="383">
        <v>0</v>
      </c>
      <c r="L910" s="474">
        <f t="shared" si="101"/>
        <v>100</v>
      </c>
      <c r="M910" s="471">
        <f t="shared" si="100"/>
        <v>205</v>
      </c>
      <c r="N910" s="405"/>
      <c r="O910" s="541"/>
      <c r="P910" s="405"/>
      <c r="Q910" s="405"/>
      <c r="S910" s="344" t="str">
        <f t="shared" si="98"/>
        <v>CABO DE COBRE DE 1,5 MM², ISOLAMENTO 750 V - ISOLAÇÃO EM PVC 70°C  COR BRANCO</v>
      </c>
    </row>
    <row r="911" spans="1:37" s="344" customFormat="1">
      <c r="A911" s="49" t="s">
        <v>208</v>
      </c>
      <c r="B911" s="50">
        <f>'[3]Plan Tron'!B136</f>
        <v>390201</v>
      </c>
      <c r="C911" s="49" t="str">
        <f>'[3]Plan Tron'!C136</f>
        <v>CPOS</v>
      </c>
      <c r="D911" s="714" t="str">
        <f>UPPER('[3]Plan Tron'!D136)</f>
        <v>CABO DE COBRE DE 1,5 MM², ISOLAMENTO 750 V - ISOLAÇÃO EM PVC 70°C  COR AMARELO</v>
      </c>
      <c r="E911" s="672" t="str">
        <f>'[3]Plan Tron'!E136</f>
        <v>M</v>
      </c>
      <c r="F911" s="135">
        <v>100</v>
      </c>
      <c r="G911" s="9">
        <f>G735</f>
        <v>1.73</v>
      </c>
      <c r="H911" s="9">
        <f>'[3]Plan Tron'!F136</f>
        <v>1.62</v>
      </c>
      <c r="I911" s="131">
        <v>26.44</v>
      </c>
      <c r="J911" s="131">
        <f t="shared" si="102"/>
        <v>2.0499999999999998</v>
      </c>
      <c r="K911" s="383">
        <v>0</v>
      </c>
      <c r="L911" s="474">
        <f t="shared" si="101"/>
        <v>100</v>
      </c>
      <c r="M911" s="471">
        <f t="shared" si="100"/>
        <v>205</v>
      </c>
      <c r="N911" s="405"/>
      <c r="O911" s="541"/>
      <c r="P911" s="405"/>
      <c r="Q911" s="405"/>
      <c r="S911" s="344" t="str">
        <f t="shared" si="98"/>
        <v>CABO DE COBRE DE 1,5 MM², ISOLAMENTO 750 V - ISOLAÇÃO EM PVC 70°C  COR AMARELO</v>
      </c>
    </row>
    <row r="912" spans="1:37" s="344" customFormat="1">
      <c r="A912" s="49" t="s">
        <v>205</v>
      </c>
      <c r="B912" s="50">
        <f>'[3]Plan Tron'!B137</f>
        <v>390201</v>
      </c>
      <c r="C912" s="49" t="str">
        <f>'[3]Plan Tron'!C137</f>
        <v>CPOS</v>
      </c>
      <c r="D912" s="714" t="str">
        <f>UPPER('[3]Plan Tron'!D137)</f>
        <v>CABO DE COBRE DE 1,5 MM², ISOLAMENTO 750 V - ISOLAÇÃO EM PVC 70°C  COR AZUL</v>
      </c>
      <c r="E912" s="672" t="str">
        <f>'[3]Plan Tron'!E137</f>
        <v>M</v>
      </c>
      <c r="F912" s="135">
        <v>100</v>
      </c>
      <c r="G912" s="9">
        <f>G735</f>
        <v>1.73</v>
      </c>
      <c r="H912" s="9">
        <f>'[3]Plan Tron'!F137</f>
        <v>1.62</v>
      </c>
      <c r="I912" s="131">
        <v>26.44</v>
      </c>
      <c r="J912" s="131">
        <f t="shared" si="102"/>
        <v>2.0499999999999998</v>
      </c>
      <c r="K912" s="383">
        <v>0</v>
      </c>
      <c r="L912" s="474">
        <f t="shared" si="101"/>
        <v>100</v>
      </c>
      <c r="M912" s="471">
        <f t="shared" si="100"/>
        <v>205</v>
      </c>
      <c r="N912" s="405"/>
      <c r="O912" s="541"/>
      <c r="P912" s="405"/>
      <c r="Q912" s="405"/>
      <c r="S912" s="344" t="str">
        <f t="shared" si="98"/>
        <v>CABO DE COBRE DE 1,5 MM², ISOLAMENTO 750 V - ISOLAÇÃO EM PVC 70°C  COR AZUL</v>
      </c>
    </row>
    <row r="913" spans="1:19" s="344" customFormat="1">
      <c r="A913" s="49" t="s">
        <v>204</v>
      </c>
      <c r="B913" s="50">
        <f>'[3]Plan Tron'!B138</f>
        <v>390201</v>
      </c>
      <c r="C913" s="49" t="str">
        <f>'[3]Plan Tron'!C138</f>
        <v>CPOS</v>
      </c>
      <c r="D913" s="714" t="str">
        <f>UPPER('[3]Plan Tron'!D138)</f>
        <v>CABO DE COBRE DE 1,5 MM², ISOLAMENTO 750 V - ISOLAÇÃO EM PVC 70°C  COR VERDE</v>
      </c>
      <c r="E913" s="672" t="str">
        <f>'[3]Plan Tron'!E138</f>
        <v>M</v>
      </c>
      <c r="F913" s="135">
        <v>100</v>
      </c>
      <c r="G913" s="9">
        <f>G735</f>
        <v>1.73</v>
      </c>
      <c r="H913" s="9">
        <f>'[3]Plan Tron'!F138</f>
        <v>1.62</v>
      </c>
      <c r="I913" s="131">
        <v>26.44</v>
      </c>
      <c r="J913" s="131">
        <f t="shared" si="102"/>
        <v>2.0499999999999998</v>
      </c>
      <c r="K913" s="383">
        <v>0</v>
      </c>
      <c r="L913" s="474">
        <f t="shared" si="101"/>
        <v>100</v>
      </c>
      <c r="M913" s="471">
        <f t="shared" si="100"/>
        <v>205</v>
      </c>
      <c r="N913" s="405"/>
      <c r="O913" s="541"/>
      <c r="P913" s="405"/>
      <c r="Q913" s="405"/>
      <c r="S913" s="344" t="str">
        <f t="shared" si="98"/>
        <v>CABO DE COBRE DE 1,5 MM², ISOLAMENTO 750 V - ISOLAÇÃO EM PVC 70°C  COR VERDE</v>
      </c>
    </row>
    <row r="914" spans="1:19" s="344" customFormat="1">
      <c r="A914" s="49" t="s">
        <v>203</v>
      </c>
      <c r="B914" s="50">
        <f>'[3]Plan Tron'!B139</f>
        <v>390217</v>
      </c>
      <c r="C914" s="49" t="str">
        <f>'[3]Plan Tron'!C139</f>
        <v>CPOS</v>
      </c>
      <c r="D914" s="714" t="str">
        <f>UPPER('[3]Plan Tron'!D139)</f>
        <v xml:space="preserve">CABO DE COBRE DE 4 MM², ISOLAMENTO 750 V - ISOLAÇÃO EM PVC 70°C COR AZUL </v>
      </c>
      <c r="E914" s="672" t="str">
        <f>'[3]Plan Tron'!E139</f>
        <v>M</v>
      </c>
      <c r="F914" s="135">
        <v>100</v>
      </c>
      <c r="G914" s="9">
        <v>3.33</v>
      </c>
      <c r="H914" s="9">
        <f>'[3]Plan Tron'!F139</f>
        <v>2.97</v>
      </c>
      <c r="I914" s="131">
        <v>26.44</v>
      </c>
      <c r="J914" s="131">
        <f t="shared" si="102"/>
        <v>3.76</v>
      </c>
      <c r="K914" s="383">
        <v>0</v>
      </c>
      <c r="L914" s="474">
        <f t="shared" si="101"/>
        <v>100</v>
      </c>
      <c r="M914" s="471">
        <f t="shared" si="100"/>
        <v>376</v>
      </c>
      <c r="N914" s="405"/>
      <c r="O914" s="541"/>
      <c r="P914" s="405"/>
      <c r="Q914" s="405"/>
      <c r="S914" s="344" t="str">
        <f t="shared" si="98"/>
        <v xml:space="preserve">CABO DE COBRE DE 4 MM², ISOLAMENTO 750 V - ISOLAÇÃO EM PVC 70°C COR AZUL </v>
      </c>
    </row>
    <row r="915" spans="1:19" s="344" customFormat="1">
      <c r="A915" s="49" t="s">
        <v>297</v>
      </c>
      <c r="B915" s="50">
        <f>'[3]Plan Tron'!B140</f>
        <v>390217</v>
      </c>
      <c r="C915" s="49" t="str">
        <f>'[3]Plan Tron'!C140</f>
        <v>CPOS</v>
      </c>
      <c r="D915" s="714" t="str">
        <f>UPPER('[3]Plan Tron'!D140)</f>
        <v xml:space="preserve">CABO DE COBRE DE 4 MM², ISOLAMENTO 750 V - ISOLAÇÃO EM PVC 70°C COR PRETO </v>
      </c>
      <c r="E915" s="672" t="str">
        <f>'[3]Plan Tron'!E140</f>
        <v>M</v>
      </c>
      <c r="F915" s="135">
        <v>100</v>
      </c>
      <c r="G915" s="9">
        <f>G914</f>
        <v>3.33</v>
      </c>
      <c r="H915" s="9">
        <f>'[3]Plan Tron'!F140</f>
        <v>2.97</v>
      </c>
      <c r="I915" s="131">
        <v>26.44</v>
      </c>
      <c r="J915" s="131">
        <f t="shared" si="102"/>
        <v>3.76</v>
      </c>
      <c r="K915" s="383">
        <v>0</v>
      </c>
      <c r="L915" s="474">
        <f t="shared" si="101"/>
        <v>100</v>
      </c>
      <c r="M915" s="471">
        <f t="shared" si="100"/>
        <v>376</v>
      </c>
      <c r="N915" s="405"/>
      <c r="O915" s="541"/>
      <c r="P915" s="405"/>
      <c r="Q915" s="405"/>
      <c r="S915" s="344" t="str">
        <f t="shared" si="98"/>
        <v xml:space="preserve">CABO DE COBRE DE 4 MM², ISOLAMENTO 750 V - ISOLAÇÃO EM PVC 70°C COR PRETO </v>
      </c>
    </row>
    <row r="916" spans="1:19" s="344" customFormat="1">
      <c r="A916" s="49" t="s">
        <v>296</v>
      </c>
      <c r="B916" s="50">
        <f>'[3]Plan Tron'!B141</f>
        <v>390217</v>
      </c>
      <c r="C916" s="49" t="str">
        <f>'[3]Plan Tron'!C141</f>
        <v>CPOS</v>
      </c>
      <c r="D916" s="714" t="str">
        <f>UPPER('[3]Plan Tron'!D141)</f>
        <v xml:space="preserve">CABO DE COBRE DE 4 MM², ISOLAMENTO 750 V - ISOLAÇÃO EM PVC 70°C COR VERDE </v>
      </c>
      <c r="E916" s="672" t="str">
        <f>'[3]Plan Tron'!E141</f>
        <v>M</v>
      </c>
      <c r="F916" s="135">
        <v>100</v>
      </c>
      <c r="G916" s="9">
        <f>G914</f>
        <v>3.33</v>
      </c>
      <c r="H916" s="9">
        <f>'[3]Plan Tron'!F141</f>
        <v>2.97</v>
      </c>
      <c r="I916" s="131">
        <v>26.44</v>
      </c>
      <c r="J916" s="131">
        <f t="shared" si="102"/>
        <v>3.76</v>
      </c>
      <c r="K916" s="383">
        <v>0</v>
      </c>
      <c r="L916" s="474">
        <f t="shared" si="101"/>
        <v>100</v>
      </c>
      <c r="M916" s="471">
        <f t="shared" si="100"/>
        <v>376</v>
      </c>
      <c r="N916" s="405"/>
      <c r="O916" s="541"/>
      <c r="P916" s="405"/>
      <c r="Q916" s="405"/>
      <c r="S916" s="344" t="str">
        <f t="shared" si="98"/>
        <v xml:space="preserve">CABO DE COBRE DE 4 MM², ISOLAMENTO 750 V - ISOLAÇÃO EM PVC 70°C COR VERDE </v>
      </c>
    </row>
    <row r="917" spans="1:19" s="389" customFormat="1" ht="25.5">
      <c r="A917" s="345" t="s">
        <v>293</v>
      </c>
      <c r="B917" s="49">
        <f>'[3]Plan Tron'!B37</f>
        <v>91925</v>
      </c>
      <c r="C917" s="49" t="str">
        <f>'[3]Plan Tron'!C37</f>
        <v>SINAPI</v>
      </c>
      <c r="D917" s="614" t="str">
        <f>'[3]Plan Tron'!D37</f>
        <v>CABO DE COBRE FLEXÍVEL ISOLADO, 1,5 MM², ANTI-CHAMA 0,6/1,0 KV, PARA CIRCUITOS TERMINAIS - FORNECIMENTO E INSTALAÇÃO. AF_12/2015 -  COR AMARELO.</v>
      </c>
      <c r="E917" s="332" t="str">
        <f>'[3]Plan Tron'!E37</f>
        <v>M</v>
      </c>
      <c r="F917" s="713">
        <v>100</v>
      </c>
      <c r="G917" s="11">
        <v>2.04</v>
      </c>
      <c r="H917" s="9">
        <f>'[3]Plan Tron'!F37</f>
        <v>2.1800000000000002</v>
      </c>
      <c r="I917" s="667">
        <v>26.44</v>
      </c>
      <c r="J917" s="131">
        <f t="shared" si="102"/>
        <v>2.76</v>
      </c>
      <c r="K917" s="383">
        <v>0</v>
      </c>
      <c r="L917" s="474">
        <f t="shared" si="101"/>
        <v>100</v>
      </c>
      <c r="M917" s="471">
        <f t="shared" si="100"/>
        <v>276</v>
      </c>
      <c r="N917" s="405"/>
      <c r="O917" s="541"/>
      <c r="P917" s="405"/>
      <c r="Q917" s="405"/>
      <c r="S917" s="344" t="str">
        <f t="shared" si="98"/>
        <v>CABO DE COBRE FLEXÍVEL ISOLADO, 1,5 MM², ANTI-CHAMA 0,6/1,0 KV, PARA CIRCUITOS TERMINAIS - FORNECIMENTO E INSTALAÇÃO. AF_12/2015 -  COR AMARELO.</v>
      </c>
    </row>
    <row r="918" spans="1:19" s="389" customFormat="1" ht="25.5">
      <c r="A918" s="345" t="s">
        <v>290</v>
      </c>
      <c r="B918" s="49">
        <f>'[3]Plan Tron'!B38</f>
        <v>91925</v>
      </c>
      <c r="C918" s="49" t="str">
        <f>'[3]Plan Tron'!C38</f>
        <v>SINAPI</v>
      </c>
      <c r="D918" s="614" t="str">
        <f>'[3]Plan Tron'!D38</f>
        <v>CABO DE COBRE FLEXÍVEL ISOLADO, 1,5 MM², ANTI-CHAMA 0,6/1,0 KV, PARA CIRCUITOS TERMINAIS - FORNECIMENTO E INSTALAÇÃO. AF_12/2015 -  COR BRANCO.</v>
      </c>
      <c r="E918" s="332" t="str">
        <f>'[3]Plan Tron'!E38</f>
        <v>M</v>
      </c>
      <c r="F918" s="713">
        <v>100</v>
      </c>
      <c r="G918" s="11" t="s">
        <v>2018</v>
      </c>
      <c r="H918" s="9">
        <f>'[3]Plan Tron'!F38</f>
        <v>2.1800000000000002</v>
      </c>
      <c r="I918" s="667">
        <v>26.44</v>
      </c>
      <c r="J918" s="131">
        <f t="shared" si="102"/>
        <v>2.76</v>
      </c>
      <c r="K918" s="383">
        <v>0</v>
      </c>
      <c r="L918" s="474">
        <f t="shared" si="101"/>
        <v>100</v>
      </c>
      <c r="M918" s="471">
        <f t="shared" si="100"/>
        <v>276</v>
      </c>
      <c r="N918" s="405"/>
      <c r="O918" s="541"/>
      <c r="P918" s="405"/>
      <c r="Q918" s="405"/>
      <c r="S918" s="344" t="str">
        <f t="shared" si="98"/>
        <v>CABO DE COBRE FLEXÍVEL ISOLADO, 1,5 MM², ANTI-CHAMA 0,6/1,0 KV, PARA CIRCUITOS TERMINAIS - FORNECIMENTO E INSTALAÇÃO. AF_12/2015 -  COR BRANCO.</v>
      </c>
    </row>
    <row r="919" spans="1:19" s="389" customFormat="1" ht="25.5">
      <c r="A919" s="345" t="s">
        <v>287</v>
      </c>
      <c r="B919" s="49">
        <f>'[3]Plan Tron'!B39</f>
        <v>91925</v>
      </c>
      <c r="C919" s="49" t="str">
        <f>'[3]Plan Tron'!C39</f>
        <v>SINAPI</v>
      </c>
      <c r="D919" s="614" t="str">
        <f>'[3]Plan Tron'!D39</f>
        <v>CABO DE COBRE FLEXÍVEL ISOLADO, 1,5 MM², ANTI-CHAMA 0,6/1,0 KV, PARA CIRCUITOS TERMINAIS - FORNECIMENTO E INSTALAÇÃO. AF_12/2015 -  COR AZUL</v>
      </c>
      <c r="E919" s="332" t="str">
        <f>'[3]Plan Tron'!E39</f>
        <v>M</v>
      </c>
      <c r="F919" s="713">
        <v>100</v>
      </c>
      <c r="G919" s="11">
        <v>2.04</v>
      </c>
      <c r="H919" s="9">
        <f>'[3]Plan Tron'!F39</f>
        <v>2.1800000000000002</v>
      </c>
      <c r="I919" s="667">
        <v>26.44</v>
      </c>
      <c r="J919" s="131">
        <f t="shared" si="102"/>
        <v>2.76</v>
      </c>
      <c r="K919" s="383">
        <v>0</v>
      </c>
      <c r="L919" s="474">
        <f t="shared" si="101"/>
        <v>100</v>
      </c>
      <c r="M919" s="471">
        <f t="shared" si="100"/>
        <v>276</v>
      </c>
      <c r="N919" s="405"/>
      <c r="O919" s="541"/>
      <c r="P919" s="405"/>
      <c r="Q919" s="405"/>
      <c r="S919" s="344" t="str">
        <f t="shared" si="98"/>
        <v>CABO DE COBRE FLEXÍVEL ISOLADO, 1,5 MM², ANTI-CHAMA 0,6/1,0 KV, PARA CIRCUITOS TERMINAIS - FORNECIMENTO E INSTALAÇÃO. AF_12/2015 -  COR AZUL</v>
      </c>
    </row>
    <row r="920" spans="1:19" s="389" customFormat="1" ht="25.5">
      <c r="A920" s="345" t="s">
        <v>1143</v>
      </c>
      <c r="B920" s="49">
        <f>'[3]Plan Tron'!B40</f>
        <v>91925</v>
      </c>
      <c r="C920" s="49" t="str">
        <f>'[3]Plan Tron'!C40</f>
        <v>SINAPI</v>
      </c>
      <c r="D920" s="614" t="str">
        <f>'[3]Plan Tron'!D40</f>
        <v>CABO DE COBRE FLEXÍVEL ISOLADO, 1,5 MM², ANTI-CHAMA 0,6/1,0 KV, PARA CIRCUITOS TERMINAIS - FORNECIMENTO E INSTALAÇÃO. AF_12/2015 -  COR VERDE</v>
      </c>
      <c r="E920" s="332" t="str">
        <f>'[3]Plan Tron'!E40</f>
        <v>M</v>
      </c>
      <c r="F920" s="713">
        <v>100</v>
      </c>
      <c r="G920" s="11">
        <v>2.04</v>
      </c>
      <c r="H920" s="9">
        <f>'[3]Plan Tron'!F40</f>
        <v>2.1800000000000002</v>
      </c>
      <c r="I920" s="667">
        <v>26.44</v>
      </c>
      <c r="J920" s="131">
        <f t="shared" si="102"/>
        <v>2.76</v>
      </c>
      <c r="K920" s="383">
        <v>0</v>
      </c>
      <c r="L920" s="474">
        <f t="shared" si="101"/>
        <v>100</v>
      </c>
      <c r="M920" s="471">
        <f t="shared" si="100"/>
        <v>276</v>
      </c>
      <c r="N920" s="405"/>
      <c r="O920" s="541"/>
      <c r="P920" s="405"/>
      <c r="Q920" s="405"/>
      <c r="S920" s="344" t="str">
        <f t="shared" si="98"/>
        <v>CABO DE COBRE FLEXÍVEL ISOLADO, 1,5 MM², ANTI-CHAMA 0,6/1,0 KV, PARA CIRCUITOS TERMINAIS - FORNECIMENTO E INSTALAÇÃO. AF_12/2015 -  COR VERDE</v>
      </c>
    </row>
    <row r="921" spans="1:19" s="389" customFormat="1" ht="25.5">
      <c r="A921" s="345" t="s">
        <v>1142</v>
      </c>
      <c r="B921" s="49">
        <f>'[3]Plan Tron'!B41</f>
        <v>91927</v>
      </c>
      <c r="C921" s="49" t="str">
        <f>'[3]Plan Tron'!C41</f>
        <v>SINAPI</v>
      </c>
      <c r="D921" s="614" t="str">
        <f>'[3]Plan Tron'!D41</f>
        <v>CABO DE COBRE FLEXÍVEL ISOLADO, 2,5 MM², ANTI-CHAMA 0,6/1,0 KV, PARA CIRCUITOS TERMINAIS - FORNECIMENTO E INSTALAÇÃO. AF_12/2015 - COR AZUL.</v>
      </c>
      <c r="E921" s="332" t="str">
        <f>'[3]Plan Tron'!E41</f>
        <v>M</v>
      </c>
      <c r="F921" s="713">
        <v>100</v>
      </c>
      <c r="G921" s="11">
        <v>2.59</v>
      </c>
      <c r="H921" s="9">
        <f>'[3]Plan Tron'!F41</f>
        <v>2.9</v>
      </c>
      <c r="I921" s="667">
        <v>26.44</v>
      </c>
      <c r="J921" s="131">
        <f t="shared" si="102"/>
        <v>3.67</v>
      </c>
      <c r="K921" s="383">
        <v>0</v>
      </c>
      <c r="L921" s="474">
        <f t="shared" si="101"/>
        <v>100</v>
      </c>
      <c r="M921" s="471">
        <f t="shared" si="100"/>
        <v>367</v>
      </c>
      <c r="N921" s="405"/>
      <c r="O921" s="541"/>
      <c r="P921" s="405"/>
      <c r="Q921" s="405"/>
      <c r="S921" s="344" t="str">
        <f t="shared" si="98"/>
        <v>CABO DE COBRE FLEXÍVEL ISOLADO, 2,5 MM², ANTI-CHAMA 0,6/1,0 KV, PARA CIRCUITOS TERMINAIS - FORNECIMENTO E INSTALAÇÃO. AF_12/2015 - COR AZUL.</v>
      </c>
    </row>
    <row r="922" spans="1:19" s="389" customFormat="1" ht="25.5">
      <c r="A922" s="345" t="s">
        <v>1141</v>
      </c>
      <c r="B922" s="49">
        <f>'[3]Plan Tron'!B42</f>
        <v>91927</v>
      </c>
      <c r="C922" s="49" t="str">
        <f>'[3]Plan Tron'!C42</f>
        <v>SINAPI</v>
      </c>
      <c r="D922" s="614" t="str">
        <f>'[3]Plan Tron'!D42</f>
        <v>CABO DE COBRE FLEXÍVEL ISOLADO, 2,5 MM², ANTI-CHAMA 0,6/1,0 KV, PARA CIRCUITOS TERMINAIS - FORNECIMENTO E INSTALAÇÃO. AF_12/2015 - COR PRETO.</v>
      </c>
      <c r="E922" s="332" t="str">
        <f>'[3]Plan Tron'!E42</f>
        <v>M</v>
      </c>
      <c r="F922" s="713">
        <v>100</v>
      </c>
      <c r="G922" s="11">
        <v>2.59</v>
      </c>
      <c r="H922" s="9">
        <f>'[3]Plan Tron'!F42</f>
        <v>2.9</v>
      </c>
      <c r="I922" s="667">
        <v>26.44</v>
      </c>
      <c r="J922" s="131">
        <f t="shared" si="102"/>
        <v>3.67</v>
      </c>
      <c r="K922" s="383">
        <v>0</v>
      </c>
      <c r="L922" s="474">
        <f t="shared" si="101"/>
        <v>100</v>
      </c>
      <c r="M922" s="471">
        <f t="shared" si="100"/>
        <v>367</v>
      </c>
      <c r="N922" s="405"/>
      <c r="O922" s="541"/>
      <c r="P922" s="405"/>
      <c r="Q922" s="405"/>
      <c r="S922" s="344" t="str">
        <f t="shared" si="98"/>
        <v>CABO DE COBRE FLEXÍVEL ISOLADO, 2,5 MM², ANTI-CHAMA 0,6/1,0 KV, PARA CIRCUITOS TERMINAIS - FORNECIMENTO E INSTALAÇÃO. AF_12/2015 - COR PRETO.</v>
      </c>
    </row>
    <row r="923" spans="1:19" s="389" customFormat="1" ht="25.5">
      <c r="A923" s="345" t="s">
        <v>1140</v>
      </c>
      <c r="B923" s="49">
        <f>'[3]Plan Tron'!B43</f>
        <v>91927</v>
      </c>
      <c r="C923" s="49" t="str">
        <f>'[3]Plan Tron'!C43</f>
        <v>SINAPI</v>
      </c>
      <c r="D923" s="614" t="str">
        <f>'[3]Plan Tron'!D43</f>
        <v>CABO DE COBRE FLEXÍVEL ISOLADO, 2,5 MM², ANTI-CHAMA 0,6/1,0 KV, PARA CIRCUITOS TERMINAIS - FORNECIMENTO E INSTALAÇÃO. AF_12/2015 - COR VERDE</v>
      </c>
      <c r="E923" s="332" t="str">
        <f>'[3]Plan Tron'!E43</f>
        <v>M</v>
      </c>
      <c r="F923" s="713">
        <v>100</v>
      </c>
      <c r="G923" s="11">
        <v>2.59</v>
      </c>
      <c r="H923" s="9">
        <f>'[3]Plan Tron'!F43</f>
        <v>2.9</v>
      </c>
      <c r="I923" s="667">
        <v>26.44</v>
      </c>
      <c r="J923" s="131">
        <f t="shared" si="102"/>
        <v>3.67</v>
      </c>
      <c r="K923" s="383">
        <v>0</v>
      </c>
      <c r="L923" s="474">
        <f t="shared" si="101"/>
        <v>100</v>
      </c>
      <c r="M923" s="471">
        <f t="shared" si="100"/>
        <v>367</v>
      </c>
      <c r="N923" s="405"/>
      <c r="O923" s="541"/>
      <c r="P923" s="405"/>
      <c r="Q923" s="405"/>
      <c r="S923" s="344" t="str">
        <f t="shared" si="98"/>
        <v>CABO DE COBRE FLEXÍVEL ISOLADO, 2,5 MM², ANTI-CHAMA 0,6/1,0 KV, PARA CIRCUITOS TERMINAIS - FORNECIMENTO E INSTALAÇÃO. AF_12/2015 - COR VERDE</v>
      </c>
    </row>
    <row r="924" spans="1:19" s="722" customFormat="1">
      <c r="A924" s="715" t="s">
        <v>18</v>
      </c>
      <c r="B924" s="716"/>
      <c r="C924" s="715"/>
      <c r="D924" s="717" t="s">
        <v>2091</v>
      </c>
      <c r="E924" s="715" t="s">
        <v>76</v>
      </c>
      <c r="F924" s="718"/>
      <c r="G924" s="716"/>
      <c r="H924" s="716"/>
      <c r="I924" s="719"/>
      <c r="J924" s="131"/>
      <c r="K924" s="720"/>
      <c r="L924" s="474"/>
      <c r="M924" s="471"/>
      <c r="N924" s="721"/>
      <c r="O924" s="541"/>
      <c r="P924" s="721"/>
      <c r="Q924" s="721"/>
      <c r="S924" s="723" t="str">
        <f t="shared" si="98"/>
        <v>ELETRODUTOS E AFINS</v>
      </c>
    </row>
    <row r="925" spans="1:19" s="389" customFormat="1">
      <c r="A925" s="345" t="s">
        <v>201</v>
      </c>
      <c r="B925" s="49" t="str">
        <f>'[3]Plan Tron'!B53</f>
        <v xml:space="preserve">380404 </v>
      </c>
      <c r="C925" s="49" t="str">
        <f>'[3]Plan Tron'!C53</f>
        <v>CPOS</v>
      </c>
      <c r="D925" s="612" t="str">
        <f>'[3]Plan Tron'!D53</f>
        <v xml:space="preserve">ELETRODUTO DE FERRO GALVANIZADO, MÉDIO DE 3/4' - COM ACESSÓRIOS </v>
      </c>
      <c r="E925" s="49" t="str">
        <f>'[3]Plan Tron'!E53</f>
        <v>M</v>
      </c>
      <c r="F925" s="713">
        <v>72</v>
      </c>
      <c r="G925" s="11">
        <v>19.86</v>
      </c>
      <c r="H925" s="9">
        <f>'[3]Plan Tron'!F53</f>
        <v>20.7</v>
      </c>
      <c r="I925" s="667">
        <v>26.44</v>
      </c>
      <c r="J925" s="131">
        <f t="shared" si="102"/>
        <v>26.17</v>
      </c>
      <c r="K925" s="383">
        <v>0</v>
      </c>
      <c r="L925" s="474">
        <f>F925-K925</f>
        <v>72</v>
      </c>
      <c r="M925" s="471">
        <f t="shared" si="100"/>
        <v>1884.24</v>
      </c>
      <c r="N925" s="405"/>
      <c r="O925" s="541"/>
      <c r="P925" s="405"/>
      <c r="Q925" s="405"/>
      <c r="S925" s="344" t="str">
        <f t="shared" si="98"/>
        <v xml:space="preserve">ELETRODUTO DE FERRO GALVANIZADO, MÉDIO DE 3/4' - COM ACESSÓRIOS </v>
      </c>
    </row>
    <row r="926" spans="1:19" s="344" customFormat="1">
      <c r="A926" s="49" t="s">
        <v>390</v>
      </c>
      <c r="B926" s="50">
        <f>'[3]Plan Tron'!B145</f>
        <v>83443</v>
      </c>
      <c r="C926" s="49" t="str">
        <f>'[3]Plan Tron'!C145</f>
        <v>SINAPI</v>
      </c>
      <c r="D926" s="35" t="str">
        <f>'[3]Plan Tron'!D145</f>
        <v xml:space="preserve"> CAIXA DE PASSAGEM 20X20X25 FUNDO BRITA COM TAMPA </v>
      </c>
      <c r="E926" s="77" t="str">
        <f>'[3]Plan Tron'!E145</f>
        <v>UN.</v>
      </c>
      <c r="F926" s="135">
        <v>10</v>
      </c>
      <c r="G926" s="9">
        <v>9.82</v>
      </c>
      <c r="H926" s="9">
        <f>'[3]Plan Tron'!F145</f>
        <v>44.23</v>
      </c>
      <c r="I926" s="131">
        <v>26.44</v>
      </c>
      <c r="J926" s="131">
        <f>ROUND(G926*(I926/100+1),2)</f>
        <v>12.42</v>
      </c>
      <c r="K926" s="383">
        <v>0</v>
      </c>
      <c r="L926" s="474">
        <f>F926-K926</f>
        <v>10</v>
      </c>
      <c r="M926" s="471">
        <f t="shared" si="100"/>
        <v>124.2</v>
      </c>
      <c r="N926" s="405"/>
      <c r="O926" s="541"/>
      <c r="P926" s="405"/>
      <c r="Q926" s="405"/>
      <c r="S926" s="344" t="str">
        <f t="shared" si="98"/>
        <v xml:space="preserve"> CAIXA DE PASSAGEM 20X20X25 FUNDO BRITA COM TAMPA </v>
      </c>
    </row>
    <row r="927" spans="1:19" s="344" customFormat="1">
      <c r="A927" s="49" t="s">
        <v>387</v>
      </c>
      <c r="B927" s="50" t="s">
        <v>1044</v>
      </c>
      <c r="C927" s="49" t="s">
        <v>2015</v>
      </c>
      <c r="D927" s="35" t="s">
        <v>2213</v>
      </c>
      <c r="E927" s="18" t="s">
        <v>2338</v>
      </c>
      <c r="F927" s="135">
        <v>4</v>
      </c>
      <c r="G927" s="9">
        <v>8.18</v>
      </c>
      <c r="H927" s="9">
        <f t="shared" ref="H927:H928" si="103">G927*$P$7</f>
        <v>9.450353999999999</v>
      </c>
      <c r="I927" s="131">
        <v>26.44</v>
      </c>
      <c r="J927" s="131">
        <f>ROUND(H927*(I927/100+1),2)</f>
        <v>11.95</v>
      </c>
      <c r="K927" s="383">
        <v>0</v>
      </c>
      <c r="L927" s="474">
        <f>F927-K927</f>
        <v>4</v>
      </c>
      <c r="M927" s="471">
        <f t="shared" si="100"/>
        <v>47.8</v>
      </c>
      <c r="N927" s="405"/>
      <c r="O927" s="541"/>
      <c r="P927" s="405"/>
      <c r="Q927" s="405"/>
      <c r="S927" s="344" t="str">
        <f t="shared" si="98"/>
        <v>CAIXA DE LIGAÇÃO ("CONDULETE"), TIPO "E", Ø3/4", COM TAMPA CEGA.</v>
      </c>
    </row>
    <row r="928" spans="1:19" s="344" customFormat="1">
      <c r="A928" s="49" t="s">
        <v>384</v>
      </c>
      <c r="B928" s="50" t="s">
        <v>1046</v>
      </c>
      <c r="C928" s="49" t="s">
        <v>2015</v>
      </c>
      <c r="D928" s="35" t="s">
        <v>2212</v>
      </c>
      <c r="E928" s="18" t="s">
        <v>2338</v>
      </c>
      <c r="F928" s="135">
        <v>4</v>
      </c>
      <c r="G928" s="9">
        <v>9.01</v>
      </c>
      <c r="H928" s="9">
        <f t="shared" si="103"/>
        <v>10.409253</v>
      </c>
      <c r="I928" s="131">
        <v>26.44</v>
      </c>
      <c r="J928" s="131">
        <f>ROUND(H928*(I928/100+1),2)</f>
        <v>13.16</v>
      </c>
      <c r="K928" s="383">
        <v>0</v>
      </c>
      <c r="L928" s="474">
        <f>F928-K928</f>
        <v>4</v>
      </c>
      <c r="M928" s="471">
        <f t="shared" si="100"/>
        <v>52.64</v>
      </c>
      <c r="N928" s="405"/>
      <c r="O928" s="541"/>
      <c r="P928" s="405"/>
      <c r="Q928" s="405"/>
      <c r="S928" s="344" t="str">
        <f t="shared" si="98"/>
        <v>CAIXA DE LIGAÇÃO ("CONDULETE"), TIPO "LL", Ø3/4", COM TAMPA CEGA.</v>
      </c>
    </row>
    <row r="929" spans="1:37" s="414" customFormat="1">
      <c r="A929" s="410" t="s">
        <v>17</v>
      </c>
      <c r="B929" s="641"/>
      <c r="C929" s="410"/>
      <c r="D929" s="429" t="s">
        <v>2152</v>
      </c>
      <c r="E929" s="617" t="s">
        <v>76</v>
      </c>
      <c r="F929" s="619"/>
      <c r="G929" s="412"/>
      <c r="H929" s="412"/>
      <c r="I929" s="642"/>
      <c r="J929" s="642"/>
      <c r="K929" s="498"/>
      <c r="L929" s="476"/>
      <c r="M929" s="471"/>
      <c r="N929" s="419"/>
      <c r="O929" s="620"/>
      <c r="P929" s="419"/>
      <c r="Q929" s="419"/>
      <c r="S929" s="414" t="str">
        <f t="shared" si="98"/>
        <v>ILUMINAÇÃO</v>
      </c>
    </row>
    <row r="930" spans="1:37" s="344" customFormat="1" ht="25.5">
      <c r="A930" s="49" t="s">
        <v>195</v>
      </c>
      <c r="B930" s="50" t="str">
        <f>'[3]Plan Tron'!B97</f>
        <v xml:space="preserve">73953/006 </v>
      </c>
      <c r="C930" s="49" t="str">
        <f>'[3]Plan Tron'!C97</f>
        <v>SINAPI</v>
      </c>
      <c r="D930" s="179" t="str">
        <f>'[3]Plan Tron'!D97</f>
        <v>LUMINARIA TIPO CALHA, DE SOBREPOR, COM REATOR DE PARTIDA RAPIDA E LAMPADA FLUORESCENTE 2X40W, COMPLETA, FORNECIMENTO E INSTALACAO</v>
      </c>
      <c r="E930" s="672" t="str">
        <f>'[3]Plan Tron'!E97</f>
        <v>UN.</v>
      </c>
      <c r="F930" s="135">
        <v>4</v>
      </c>
      <c r="G930" s="9">
        <v>73.319999999999993</v>
      </c>
      <c r="H930" s="9">
        <f>'[3]Plan Tron'!F97</f>
        <v>95.01</v>
      </c>
      <c r="I930" s="131">
        <v>26.44</v>
      </c>
      <c r="J930" s="131">
        <f>ROUND(H930*(I930/100+1),2)</f>
        <v>120.13</v>
      </c>
      <c r="K930" s="383">
        <v>0</v>
      </c>
      <c r="L930" s="474">
        <f t="shared" ref="L930:L935" si="104">F930-K930</f>
        <v>4</v>
      </c>
      <c r="M930" s="471">
        <f t="shared" si="100"/>
        <v>480.52</v>
      </c>
      <c r="N930" s="405"/>
      <c r="O930" s="541"/>
      <c r="P930" s="405"/>
      <c r="Q930" s="405"/>
      <c r="S930" s="344" t="str">
        <f t="shared" si="98"/>
        <v>LUMINARIA TIPO CALHA, DE SOBREPOR, COM REATOR DE PARTIDA RAPIDA E LAMPADA FLUORESCENTE 2X40W, COMPLETA, FORNECIMENTO E INSTALACAO</v>
      </c>
    </row>
    <row r="931" spans="1:37" s="414" customFormat="1">
      <c r="A931" s="410" t="s">
        <v>16</v>
      </c>
      <c r="B931" s="641"/>
      <c r="C931" s="410"/>
      <c r="D931" s="429" t="s">
        <v>2215</v>
      </c>
      <c r="E931" s="617" t="s">
        <v>76</v>
      </c>
      <c r="F931" s="619"/>
      <c r="G931" s="412"/>
      <c r="H931" s="412"/>
      <c r="I931" s="642"/>
      <c r="J931" s="131"/>
      <c r="K931" s="498"/>
      <c r="L931" s="474">
        <f t="shared" si="104"/>
        <v>0</v>
      </c>
      <c r="M931" s="471"/>
      <c r="N931" s="419"/>
      <c r="O931" s="541"/>
      <c r="P931" s="419"/>
      <c r="Q931" s="419"/>
      <c r="S931" s="414" t="str">
        <f t="shared" si="98"/>
        <v>ATERRAMENTO E SPDA</v>
      </c>
    </row>
    <row r="932" spans="1:37" s="389" customFormat="1">
      <c r="A932" s="345" t="s">
        <v>270</v>
      </c>
      <c r="B932" s="49">
        <f>'[3]Plan Tron'!B59</f>
        <v>72254</v>
      </c>
      <c r="C932" s="49" t="str">
        <f>'[3]Plan Tron'!C59</f>
        <v>SINAPI</v>
      </c>
      <c r="D932" s="612" t="str">
        <f>'[3]Plan Tron'!D59</f>
        <v>CABO DE COBRE NU, SEÇÃO 50 MM², ENCORDOAMENTO CLASSE 2.</v>
      </c>
      <c r="E932" s="49" t="str">
        <f>'[3]Plan Tron'!E59</f>
        <v>M</v>
      </c>
      <c r="F932" s="713">
        <v>110</v>
      </c>
      <c r="G932" s="11">
        <v>22.41</v>
      </c>
      <c r="H932" s="9">
        <f>'[3]Plan Tron'!F59</f>
        <v>31.11</v>
      </c>
      <c r="I932" s="667">
        <v>26.44</v>
      </c>
      <c r="J932" s="131">
        <f t="shared" ref="J932" si="105">ROUND(H932*(I932/100+1),2)</f>
        <v>39.340000000000003</v>
      </c>
      <c r="K932" s="383">
        <v>0</v>
      </c>
      <c r="L932" s="474">
        <f t="shared" si="104"/>
        <v>110</v>
      </c>
      <c r="M932" s="471">
        <f t="shared" si="100"/>
        <v>4327.3999999999996</v>
      </c>
      <c r="N932" s="405"/>
      <c r="O932" s="541"/>
      <c r="P932" s="405"/>
      <c r="Q932" s="405"/>
      <c r="S932" s="344" t="str">
        <f t="shared" si="98"/>
        <v>CABO DE COBRE NU, SEÇÃO 50 MM², ENCORDOAMENTO CLASSE 2.</v>
      </c>
    </row>
    <row r="933" spans="1:37" s="389" customFormat="1">
      <c r="A933" s="345" t="s">
        <v>369</v>
      </c>
      <c r="B933" s="49">
        <f>'[3]Plan Tron'!B148</f>
        <v>72315</v>
      </c>
      <c r="C933" s="49" t="str">
        <f>'[3]Plan Tron'!C148</f>
        <v>SINAPI</v>
      </c>
      <c r="D933" s="612" t="str">
        <f>'[3]Plan Tron'!D148</f>
        <v xml:space="preserve">TERMINAL AEREO EM ACO GALVANIZADO COM BASE DE FIXACAO H = 30CM </v>
      </c>
      <c r="E933" s="49" t="str">
        <f>'[3]Plan Tron'!E148</f>
        <v>UN.</v>
      </c>
      <c r="F933" s="713">
        <v>8</v>
      </c>
      <c r="G933" s="11">
        <v>17.12</v>
      </c>
      <c r="H933" s="9">
        <f>'[3]Plan Tron'!F148</f>
        <v>25.6</v>
      </c>
      <c r="I933" s="667">
        <v>26.44</v>
      </c>
      <c r="J933" s="667">
        <f>ROUND(G933*(I933/100+1),2)</f>
        <v>21.65</v>
      </c>
      <c r="K933" s="383">
        <v>0</v>
      </c>
      <c r="L933" s="474">
        <f t="shared" si="104"/>
        <v>8</v>
      </c>
      <c r="M933" s="471">
        <f t="shared" si="100"/>
        <v>173.2</v>
      </c>
      <c r="N933" s="405"/>
      <c r="O933" s="541"/>
      <c r="P933" s="405"/>
      <c r="Q933" s="405"/>
      <c r="S933" s="344" t="str">
        <f t="shared" si="98"/>
        <v xml:space="preserve">TERMINAL AEREO EM ACO GALVANIZADO COM BASE DE FIXACAO H = 30CM </v>
      </c>
    </row>
    <row r="934" spans="1:37" s="389" customFormat="1">
      <c r="A934" s="345" t="s">
        <v>367</v>
      </c>
      <c r="B934" s="49">
        <f>'[3]Plan Tron'!B60</f>
        <v>83484</v>
      </c>
      <c r="C934" s="49" t="str">
        <f>'[3]Plan Tron'!C60</f>
        <v>SINAPI</v>
      </c>
      <c r="D934" s="612" t="str">
        <f>'[3]Plan Tron'!D60</f>
        <v>HASTE DE ATERRAMENTO DE AÇO COBREADO Ø3/4"X3,0M.</v>
      </c>
      <c r="E934" s="49" t="str">
        <f>'[3]Plan Tron'!E60</f>
        <v>PÇ.</v>
      </c>
      <c r="F934" s="713">
        <v>11</v>
      </c>
      <c r="G934" s="11">
        <v>47.99</v>
      </c>
      <c r="H934" s="9">
        <f>'[3]Plan Tron'!F60</f>
        <v>61.62</v>
      </c>
      <c r="I934" s="667">
        <v>26.44</v>
      </c>
      <c r="J934" s="667">
        <f>ROUND(G934*(I934/100+1),2)</f>
        <v>60.68</v>
      </c>
      <c r="K934" s="383">
        <v>0</v>
      </c>
      <c r="L934" s="474">
        <f t="shared" si="104"/>
        <v>11</v>
      </c>
      <c r="M934" s="471">
        <f t="shared" si="100"/>
        <v>667.48</v>
      </c>
      <c r="N934" s="405"/>
      <c r="O934" s="541"/>
      <c r="P934" s="405"/>
      <c r="Q934" s="405"/>
      <c r="S934" s="344" t="str">
        <f t="shared" si="98"/>
        <v>HASTE DE ATERRAMENTO DE AÇO COBREADO Ø3/4"X3,0M.</v>
      </c>
    </row>
    <row r="935" spans="1:37" s="389" customFormat="1">
      <c r="A935" s="345" t="s">
        <v>365</v>
      </c>
      <c r="B935" s="49">
        <f>'[3]Plan Tron'!B149</f>
        <v>93009</v>
      </c>
      <c r="C935" s="49" t="str">
        <f>'[3]Plan Tron'!C149</f>
        <v>SINAPI</v>
      </c>
      <c r="D935" s="612" t="str">
        <f>'[3]Plan Tron'!D149</f>
        <v>ELETRODUTO RÍGIDO ROSCÁVEL, PVC, DN 60 MM (2") - FORNECIMENTO E INSTALAÇÃO. AF_12/2015</v>
      </c>
      <c r="E935" s="49" t="str">
        <f>'[3]Plan Tron'!E149</f>
        <v>M</v>
      </c>
      <c r="F935" s="713">
        <v>24</v>
      </c>
      <c r="G935" s="11">
        <v>18.86</v>
      </c>
      <c r="H935" s="9">
        <f>'[3]Plan Tron'!F149</f>
        <v>13.45</v>
      </c>
      <c r="I935" s="667">
        <v>26.44</v>
      </c>
      <c r="J935" s="667">
        <f>ROUND(G935*(I935/100+1),2)</f>
        <v>23.85</v>
      </c>
      <c r="K935" s="383">
        <v>0</v>
      </c>
      <c r="L935" s="474">
        <f t="shared" si="104"/>
        <v>24</v>
      </c>
      <c r="M935" s="471">
        <f t="shared" si="100"/>
        <v>572.4</v>
      </c>
      <c r="N935" s="405"/>
      <c r="O935" s="541"/>
      <c r="P935" s="405"/>
      <c r="Q935" s="405"/>
      <c r="S935" s="344" t="str">
        <f t="shared" si="98"/>
        <v>ELETRODUTO RÍGIDO ROSCÁVEL, PVC, DN 60 MM (2") - FORNECIMENTO E INSTALAÇÃO. AF_12/2015</v>
      </c>
    </row>
    <row r="936" spans="1:37">
      <c r="A936" s="49"/>
      <c r="B936" s="57"/>
      <c r="C936" s="49"/>
      <c r="D936" s="65"/>
      <c r="E936" s="18"/>
      <c r="F936" s="36"/>
      <c r="G936" s="316"/>
      <c r="H936" s="20"/>
      <c r="I936" s="20"/>
      <c r="J936" s="20"/>
      <c r="K936" s="65"/>
      <c r="L936" s="474"/>
      <c r="M936" s="472"/>
      <c r="N936" s="405"/>
      <c r="O936" s="541"/>
      <c r="P936" s="405"/>
      <c r="Q936" s="405"/>
    </row>
    <row r="937" spans="1:37">
      <c r="A937" s="49"/>
      <c r="B937" s="57"/>
      <c r="C937" s="49"/>
      <c r="D937" s="65"/>
      <c r="E937" s="18"/>
      <c r="F937" s="36"/>
      <c r="G937" s="316"/>
      <c r="H937" s="20"/>
      <c r="I937" s="20"/>
      <c r="J937" s="20"/>
      <c r="K937" s="65"/>
      <c r="L937" s="474"/>
      <c r="M937" s="472"/>
      <c r="N937" s="405"/>
      <c r="O937" s="541"/>
      <c r="P937" s="405"/>
      <c r="Q937" s="405"/>
    </row>
    <row r="938" spans="1:37" s="299" customFormat="1">
      <c r="A938" s="297"/>
      <c r="B938" s="298"/>
      <c r="C938" s="298"/>
      <c r="D938" s="513" t="s">
        <v>2363</v>
      </c>
      <c r="E938" s="297" t="s">
        <v>54</v>
      </c>
      <c r="F938" s="298"/>
      <c r="G938" s="301"/>
      <c r="H938" s="338"/>
      <c r="I938" s="298"/>
      <c r="J938" s="298"/>
      <c r="K938" s="513"/>
      <c r="L938" s="508"/>
      <c r="M938" s="505">
        <f>SUM(M905:M936)</f>
        <v>15988.21</v>
      </c>
      <c r="N938" s="405"/>
      <c r="O938" s="541"/>
      <c r="P938" s="405"/>
      <c r="Q938" s="405"/>
      <c r="R938" s="388"/>
      <c r="S938" s="344" t="str">
        <f>UPPER(K938)</f>
        <v/>
      </c>
      <c r="T938" s="388"/>
      <c r="U938" s="388"/>
      <c r="V938" s="388"/>
      <c r="W938" s="388"/>
      <c r="X938" s="388"/>
      <c r="Y938" s="388"/>
      <c r="Z938" s="388"/>
      <c r="AA938" s="388"/>
      <c r="AB938" s="388"/>
      <c r="AC938" s="388"/>
      <c r="AD938" s="388"/>
      <c r="AE938" s="388"/>
      <c r="AF938" s="388"/>
      <c r="AG938" s="388"/>
      <c r="AH938" s="388"/>
      <c r="AI938" s="388"/>
      <c r="AJ938" s="388"/>
      <c r="AK938" s="388"/>
    </row>
    <row r="939" spans="1:37" s="299" customFormat="1">
      <c r="A939" s="297"/>
      <c r="B939" s="298"/>
      <c r="C939" s="298"/>
      <c r="D939" s="442" t="s">
        <v>76</v>
      </c>
      <c r="E939" s="297" t="s">
        <v>76</v>
      </c>
      <c r="F939" s="298"/>
      <c r="G939" s="301"/>
      <c r="H939" s="338"/>
      <c r="I939" s="298"/>
      <c r="J939" s="298"/>
      <c r="K939" s="341"/>
      <c r="L939" s="474"/>
      <c r="M939" s="471"/>
      <c r="N939" s="405"/>
      <c r="O939" s="541"/>
      <c r="P939" s="405"/>
      <c r="Q939" s="405"/>
      <c r="R939" s="388"/>
      <c r="S939" s="344" t="str">
        <f t="shared" ref="S939:S954" si="106">UPPER(D939)</f>
        <v/>
      </c>
      <c r="T939" s="388"/>
      <c r="U939" s="388"/>
      <c r="V939" s="388"/>
      <c r="W939" s="388"/>
      <c r="X939" s="388"/>
      <c r="Y939" s="388"/>
      <c r="Z939" s="388"/>
      <c r="AA939" s="388"/>
      <c r="AB939" s="388"/>
      <c r="AC939" s="388"/>
      <c r="AD939" s="388"/>
      <c r="AE939" s="388"/>
      <c r="AF939" s="388"/>
      <c r="AG939" s="388"/>
      <c r="AH939" s="388"/>
      <c r="AI939" s="388"/>
      <c r="AJ939" s="388"/>
      <c r="AK939" s="388"/>
    </row>
    <row r="940" spans="1:37" s="450" customFormat="1">
      <c r="A940" s="445">
        <v>22</v>
      </c>
      <c r="B940" s="446"/>
      <c r="C940" s="447"/>
      <c r="D940" s="448" t="s">
        <v>1967</v>
      </c>
      <c r="E940" s="453" t="s">
        <v>76</v>
      </c>
      <c r="F940" s="446"/>
      <c r="G940" s="446"/>
      <c r="H940" s="446"/>
      <c r="I940" s="446"/>
      <c r="J940" s="446"/>
      <c r="K940" s="473"/>
      <c r="L940" s="478"/>
      <c r="M940" s="479"/>
      <c r="N940" s="454"/>
      <c r="O940" s="541"/>
      <c r="P940" s="454"/>
      <c r="Q940" s="454"/>
      <c r="S940" s="450" t="str">
        <f t="shared" si="106"/>
        <v xml:space="preserve">RESERVATÓRIO ELEVADO DE ÁGUA DE PROCESSOS (50M³) </v>
      </c>
    </row>
    <row r="941" spans="1:37" s="450" customFormat="1">
      <c r="A941" s="445" t="s">
        <v>50</v>
      </c>
      <c r="B941" s="446"/>
      <c r="C941" s="447"/>
      <c r="D941" s="448" t="s">
        <v>2000</v>
      </c>
      <c r="E941" s="453" t="s">
        <v>76</v>
      </c>
      <c r="F941" s="446"/>
      <c r="G941" s="446"/>
      <c r="H941" s="446"/>
      <c r="I941" s="446"/>
      <c r="J941" s="446"/>
      <c r="K941" s="473"/>
      <c r="L941" s="478"/>
      <c r="M941" s="479"/>
      <c r="N941" s="454"/>
      <c r="O941" s="541"/>
      <c r="P941" s="454"/>
      <c r="Q941" s="454"/>
      <c r="S941" s="450" t="str">
        <f t="shared" si="106"/>
        <v xml:space="preserve">RESERVATÓRIO ELEVADO (RESERVATÓRIO ELEVADO DE ÁGUA DE PROCESSOS 50M³) </v>
      </c>
    </row>
    <row r="942" spans="1:37" s="344" customFormat="1" hidden="1">
      <c r="A942" s="45">
        <v>1</v>
      </c>
      <c r="B942" s="25"/>
      <c r="C942" s="45"/>
      <c r="D942" s="399" t="s">
        <v>2038</v>
      </c>
      <c r="E942" s="24" t="s">
        <v>76</v>
      </c>
      <c r="F942" s="21"/>
      <c r="G942" s="9" t="s">
        <v>76</v>
      </c>
      <c r="H942" s="9"/>
      <c r="I942" s="9"/>
      <c r="J942" s="9"/>
      <c r="K942" s="383"/>
      <c r="L942" s="474"/>
      <c r="M942" s="471"/>
      <c r="N942" s="405"/>
      <c r="O942" s="541"/>
      <c r="P942" s="405"/>
      <c r="Q942" s="405"/>
      <c r="S942" s="344" t="str">
        <f t="shared" si="106"/>
        <v>MOVIMENTO DE TERRA</v>
      </c>
    </row>
    <row r="943" spans="1:37" s="414" customFormat="1" hidden="1">
      <c r="A943" s="410" t="s">
        <v>20</v>
      </c>
      <c r="B943" s="411"/>
      <c r="C943" s="410"/>
      <c r="D943" s="434" t="s">
        <v>2041</v>
      </c>
      <c r="E943" s="424" t="s">
        <v>76</v>
      </c>
      <c r="F943" s="422"/>
      <c r="G943" s="412"/>
      <c r="H943" s="412"/>
      <c r="I943" s="412"/>
      <c r="J943" s="412"/>
      <c r="K943" s="498"/>
      <c r="L943" s="474"/>
      <c r="M943" s="471"/>
      <c r="N943" s="419"/>
      <c r="O943" s="541"/>
      <c r="P943" s="419"/>
      <c r="Q943" s="419"/>
      <c r="S943" s="414" t="str">
        <f t="shared" si="106"/>
        <v>ESCAVAÇÃO DE VALAS</v>
      </c>
    </row>
    <row r="944" spans="1:37" s="414" customFormat="1" hidden="1">
      <c r="A944" s="410" t="s">
        <v>153</v>
      </c>
      <c r="B944" s="411"/>
      <c r="C944" s="410"/>
      <c r="D944" s="434" t="s">
        <v>2042</v>
      </c>
      <c r="E944" s="424" t="s">
        <v>76</v>
      </c>
      <c r="F944" s="422"/>
      <c r="G944" s="412"/>
      <c r="H944" s="412"/>
      <c r="I944" s="412"/>
      <c r="J944" s="412"/>
      <c r="K944" s="498"/>
      <c r="L944" s="474"/>
      <c r="M944" s="471"/>
      <c r="N944" s="419"/>
      <c r="O944" s="541"/>
      <c r="P944" s="419"/>
      <c r="Q944" s="419"/>
      <c r="S944" s="414" t="str">
        <f t="shared" si="106"/>
        <v>ESCAVAÇÃO MECÂNICA DE CAVAS</v>
      </c>
    </row>
    <row r="945" spans="1:19" s="344" customFormat="1" ht="38.25" hidden="1">
      <c r="A945" s="49" t="s">
        <v>152</v>
      </c>
      <c r="B945" s="49">
        <f>'[3]Plan Tron'!B150</f>
        <v>90082</v>
      </c>
      <c r="C945" s="49" t="str">
        <f>'[3]Plan Tron'!C150</f>
        <v>SINAPI</v>
      </c>
      <c r="D945" s="614" t="str">
        <f>'[3]Plan Tron'!D150</f>
        <v>ESCAVAÇÃO MECANIZADA DE VALA COM PROF. ATÉ 1,5 M (MÉDIA ENTRE MONTANTE E JUSANTE/UMA COMPOSIÇÃO POR TRECHO), COM ESCAVADEIRA HIDRÁULICA (0,8M3/111 HP), LARG. DE 1,5 M A 2,5 M, EM SOLO DE 1A CATEGORIA, EM LOCAIS COM ALTO NÍVEL DE INTERFERÊNCIA. AF_01/2015</v>
      </c>
      <c r="E945" s="612" t="str">
        <f>'[3]Plan Tron'!E150</f>
        <v>M³</v>
      </c>
      <c r="F945" s="21">
        <v>11.48</v>
      </c>
      <c r="G945" s="9">
        <v>10.220000000000001</v>
      </c>
      <c r="H945" s="9">
        <f>'[3]Plan Tron'!F150</f>
        <v>12.82</v>
      </c>
      <c r="I945" s="9">
        <v>26.44</v>
      </c>
      <c r="J945" s="9">
        <f>ROUND(H945*(I945/100+1),2)</f>
        <v>16.21</v>
      </c>
      <c r="K945" s="383">
        <v>11.48</v>
      </c>
      <c r="L945" s="474">
        <f>F945-K945</f>
        <v>0</v>
      </c>
      <c r="M945" s="471">
        <f t="shared" ref="M945:M982" si="107">ROUND(L945*J945,2)</f>
        <v>0</v>
      </c>
      <c r="N945" s="405"/>
      <c r="O945" s="541"/>
      <c r="P945" s="405"/>
      <c r="Q945" s="405"/>
      <c r="S945" s="344" t="str">
        <f t="shared" si="106"/>
        <v>ESCAVAÇÃO MECANIZADA DE VALA COM PROF. ATÉ 1,5 M (MÉDIA ENTRE MONTANTE E JUSANTE/UMA COMPOSIÇÃO POR TRECHO), COM ESCAVADEIRA HIDRÁULICA (0,8M3/111 HP), LARG. DE 1,5 M A 2,5 M, EM SOLO DE 1A CATEGORIA, EM LOCAIS COM ALTO NÍVEL DE INTERFERÊNCIA. AF_01/2015</v>
      </c>
    </row>
    <row r="946" spans="1:19" s="414" customFormat="1" hidden="1">
      <c r="A946" s="410" t="s">
        <v>19</v>
      </c>
      <c r="B946" s="411"/>
      <c r="C946" s="410"/>
      <c r="D946" s="434" t="s">
        <v>2111</v>
      </c>
      <c r="E946" s="424"/>
      <c r="F946" s="422"/>
      <c r="G946" s="412"/>
      <c r="H946" s="412"/>
      <c r="I946" s="412"/>
      <c r="J946" s="412"/>
      <c r="K946" s="498"/>
      <c r="L946" s="474"/>
      <c r="M946" s="471"/>
      <c r="N946" s="419"/>
      <c r="O946" s="541"/>
      <c r="P946" s="419"/>
      <c r="Q946" s="419"/>
      <c r="S946" s="414" t="str">
        <f t="shared" si="106"/>
        <v>ATERRO / REATERRO DE VALAS COM OU S/ COMPACTAÇÃO.</v>
      </c>
    </row>
    <row r="947" spans="1:19" s="414" customFormat="1" hidden="1">
      <c r="A947" s="410" t="s">
        <v>147</v>
      </c>
      <c r="B947" s="411"/>
      <c r="C947" s="410"/>
      <c r="D947" s="434" t="s">
        <v>2045</v>
      </c>
      <c r="E947" s="424"/>
      <c r="F947" s="422"/>
      <c r="G947" s="412"/>
      <c r="H947" s="412"/>
      <c r="I947" s="412"/>
      <c r="J947" s="412"/>
      <c r="K947" s="498"/>
      <c r="L947" s="474"/>
      <c r="M947" s="471"/>
      <c r="N947" s="419"/>
      <c r="O947" s="541"/>
      <c r="P947" s="419"/>
      <c r="Q947" s="419"/>
      <c r="S947" s="414" t="str">
        <f t="shared" si="106"/>
        <v>REATERRO DE VALAS</v>
      </c>
    </row>
    <row r="948" spans="1:19" s="344" customFormat="1" hidden="1">
      <c r="A948" s="49" t="s">
        <v>146</v>
      </c>
      <c r="B948" s="49" t="str">
        <f>'[3]Plan Tron'!B12</f>
        <v xml:space="preserve">73964/006 </v>
      </c>
      <c r="C948" s="49" t="str">
        <f>'[3]Plan Tron'!C12</f>
        <v>SINAPI</v>
      </c>
      <c r="D948" s="612" t="str">
        <f>'[3]Plan Tron'!D12</f>
        <v xml:space="preserve">REATERRO DE VALA COM COMPACTAÇÃO MANUAL </v>
      </c>
      <c r="E948" s="49" t="str">
        <f>'[3]Plan Tron'!E12</f>
        <v>M³</v>
      </c>
      <c r="F948" s="21">
        <v>8.0399999999999991</v>
      </c>
      <c r="G948" s="9">
        <v>20.67</v>
      </c>
      <c r="H948" s="9">
        <f>'[3]Plan Tron'!F12</f>
        <v>49.62</v>
      </c>
      <c r="I948" s="9">
        <v>26.44</v>
      </c>
      <c r="J948" s="9">
        <f>ROUND(H948*(I948/100+1),2)</f>
        <v>62.74</v>
      </c>
      <c r="K948" s="383">
        <v>8.0399999999999991</v>
      </c>
      <c r="L948" s="474">
        <f>F948-K948</f>
        <v>0</v>
      </c>
      <c r="M948" s="471">
        <f t="shared" si="107"/>
        <v>0</v>
      </c>
      <c r="N948" s="405"/>
      <c r="O948" s="541"/>
      <c r="P948" s="405"/>
      <c r="Q948" s="405"/>
      <c r="S948" s="344" t="str">
        <f t="shared" si="106"/>
        <v xml:space="preserve">REATERRO DE VALA COM COMPACTAÇÃO MANUAL </v>
      </c>
    </row>
    <row r="949" spans="1:19" s="344" customFormat="1" ht="25.5" hidden="1">
      <c r="A949" s="49" t="s">
        <v>1197</v>
      </c>
      <c r="B949" s="49" t="str">
        <f>'[3]Plan Tron'!B64</f>
        <v xml:space="preserve">74005/002 </v>
      </c>
      <c r="C949" s="49" t="str">
        <f>'[3]Plan Tron'!C64</f>
        <v>SINAPI</v>
      </c>
      <c r="D949" s="614" t="str">
        <f>'[3]Plan Tron'!D64</f>
        <v>COMPACTACAO MECANICA C/ CONTROLE DO GC&gt;=95% DO PN (AREAS) (C/MONIVELADORA 140 HP E ROLO COMPRESSOR VIBRATORIO 80 HP)</v>
      </c>
      <c r="E949" s="49" t="str">
        <f>'[3]Plan Tron'!E64</f>
        <v>M³</v>
      </c>
      <c r="F949" s="21">
        <v>3.44</v>
      </c>
      <c r="G949" s="9">
        <v>7.8</v>
      </c>
      <c r="H949" s="9">
        <f>'[3]Plan Tron'!F64</f>
        <v>4.83</v>
      </c>
      <c r="I949" s="9">
        <v>26.44</v>
      </c>
      <c r="J949" s="9">
        <f t="shared" ref="J949:J954" si="108">ROUND(H949*(I949/100+1),2)</f>
        <v>6.11</v>
      </c>
      <c r="K949" s="383">
        <v>3.44</v>
      </c>
      <c r="L949" s="474">
        <f>F949-K949</f>
        <v>0</v>
      </c>
      <c r="M949" s="471">
        <f t="shared" si="107"/>
        <v>0</v>
      </c>
      <c r="N949" s="405"/>
      <c r="O949" s="541"/>
      <c r="P949" s="405"/>
      <c r="Q949" s="405"/>
      <c r="S949" s="344" t="str">
        <f t="shared" si="106"/>
        <v>COMPACTACAO MECANICA C/ CONTROLE DO GC&gt;=95% DO PN (AREAS) (C/MONIVELADORA 140 HP E ROLO COMPRESSOR VIBRATORIO 80 HP)</v>
      </c>
    </row>
    <row r="950" spans="1:19" s="414" customFormat="1" hidden="1">
      <c r="A950" s="410" t="s">
        <v>18</v>
      </c>
      <c r="B950" s="411"/>
      <c r="C950" s="410"/>
      <c r="D950" s="434" t="s">
        <v>2100</v>
      </c>
      <c r="E950" s="424"/>
      <c r="F950" s="422"/>
      <c r="G950" s="412"/>
      <c r="H950" s="412"/>
      <c r="I950" s="412"/>
      <c r="J950" s="9"/>
      <c r="K950" s="498"/>
      <c r="L950" s="474"/>
      <c r="M950" s="471"/>
      <c r="N950" s="419"/>
      <c r="O950" s="541"/>
      <c r="P950" s="419"/>
      <c r="Q950" s="419"/>
      <c r="S950" s="414" t="str">
        <f t="shared" si="106"/>
        <v>COMPACTAÇÃO OU APILOAMENTO</v>
      </c>
    </row>
    <row r="951" spans="1:19" s="344" customFormat="1" ht="25.5" hidden="1">
      <c r="A951" s="49" t="s">
        <v>201</v>
      </c>
      <c r="B951" s="49">
        <f>'[3]Plan Tron'!B89</f>
        <v>94098</v>
      </c>
      <c r="C951" s="49" t="str">
        <f>'[3]Plan Tron'!C89</f>
        <v>SINAPI</v>
      </c>
      <c r="D951" s="84" t="str">
        <f>'[3]Plan Tron'!D89</f>
        <v>PREPARO DE FUNDO DE VALA COM LARGURA MENOR QUE 1,5 M, EM LOCAL COM NÍVEL ALTO DE INTERFERÊNCIA. AF_06/2016</v>
      </c>
      <c r="E951" s="77" t="str">
        <f>'[3]Plan Tron'!E89</f>
        <v>M²</v>
      </c>
      <c r="F951" s="21">
        <v>21.59</v>
      </c>
      <c r="G951" s="9">
        <v>3.24</v>
      </c>
      <c r="H951" s="9">
        <f>'[3]Plan Tron'!F89</f>
        <v>5.53</v>
      </c>
      <c r="I951" s="9">
        <v>26.44</v>
      </c>
      <c r="J951" s="9">
        <f t="shared" si="108"/>
        <v>6.99</v>
      </c>
      <c r="K951" s="383">
        <v>21.59</v>
      </c>
      <c r="L951" s="474">
        <f>F951-K951</f>
        <v>0</v>
      </c>
      <c r="M951" s="471">
        <f t="shared" si="107"/>
        <v>0</v>
      </c>
      <c r="N951" s="405"/>
      <c r="O951" s="541"/>
      <c r="P951" s="405"/>
      <c r="Q951" s="405"/>
      <c r="S951" s="344" t="str">
        <f t="shared" si="106"/>
        <v>PREPARO DE FUNDO DE VALA COM LARGURA MENOR QUE 1,5 M, EM LOCAL COM NÍVEL ALTO DE INTERFERÊNCIA. AF_06/2016</v>
      </c>
    </row>
    <row r="952" spans="1:19" s="414" customFormat="1" hidden="1">
      <c r="A952" s="410" t="s">
        <v>17</v>
      </c>
      <c r="B952" s="411"/>
      <c r="C952" s="410"/>
      <c r="D952" s="434" t="s">
        <v>2046</v>
      </c>
      <c r="E952" s="424"/>
      <c r="F952" s="422"/>
      <c r="G952" s="412"/>
      <c r="H952" s="412"/>
      <c r="I952" s="412"/>
      <c r="J952" s="9"/>
      <c r="K952" s="498"/>
      <c r="L952" s="474"/>
      <c r="M952" s="471"/>
      <c r="N952" s="419"/>
      <c r="O952" s="541"/>
      <c r="P952" s="419"/>
      <c r="Q952" s="419"/>
      <c r="S952" s="414" t="str">
        <f t="shared" si="106"/>
        <v>CARGA, DESCARGA E/OU TRANSPORTE DE MATERIAIS</v>
      </c>
    </row>
    <row r="953" spans="1:19" s="344" customFormat="1" hidden="1">
      <c r="A953" s="49" t="s">
        <v>195</v>
      </c>
      <c r="B953" s="49">
        <f>'[3]Plan Tron'!B13</f>
        <v>72885</v>
      </c>
      <c r="C953" s="49" t="str">
        <f>'[3]Plan Tron'!C13</f>
        <v>SINAPI</v>
      </c>
      <c r="D953" s="645" t="str">
        <f>'[3]Plan Tron'!D13</f>
        <v>TRANSPORTE COMERCIAL COM CAMINHAO BASCULANTE 6 M3, RODOVIA EM LEITO NATURAL</v>
      </c>
      <c r="E953" s="77" t="str">
        <f>'[3]Plan Tron'!E13</f>
        <v>M³ X KM</v>
      </c>
      <c r="F953" s="21">
        <v>18.16</v>
      </c>
      <c r="G953" s="9">
        <v>1.03</v>
      </c>
      <c r="H953" s="9">
        <f>'[3]Plan Tron'!F13</f>
        <v>1.37</v>
      </c>
      <c r="I953" s="9">
        <v>26.44</v>
      </c>
      <c r="J953" s="9">
        <f t="shared" si="108"/>
        <v>1.73</v>
      </c>
      <c r="K953" s="383">
        <v>18.16</v>
      </c>
      <c r="L953" s="474">
        <f>F953-K953</f>
        <v>0</v>
      </c>
      <c r="M953" s="471">
        <f t="shared" si="107"/>
        <v>0</v>
      </c>
      <c r="N953" s="405"/>
      <c r="O953" s="541"/>
      <c r="P953" s="405"/>
      <c r="Q953" s="405"/>
      <c r="S953" s="344" t="str">
        <f t="shared" si="106"/>
        <v>TRANSPORTE COMERCIAL COM CAMINHAO BASCULANTE 6 M3, RODOVIA EM LEITO NATURAL</v>
      </c>
    </row>
    <row r="954" spans="1:19" s="344" customFormat="1" ht="25.5" hidden="1">
      <c r="A954" s="49" t="s">
        <v>192</v>
      </c>
      <c r="B954" s="49">
        <f>'[3]Plan Tron'!B14</f>
        <v>72888</v>
      </c>
      <c r="C954" s="49" t="str">
        <f>'[3]Plan Tron'!C14</f>
        <v>SINAPI</v>
      </c>
      <c r="D954" s="84" t="str">
        <f>'[3]Plan Tron'!D14</f>
        <v>CARGA, MANOBRAS E DESCARGA DE AREIA, BRITA, PEDRA DE MAO E SOLOS COM CAMINHAO BASCULANTE 6 M3 (DESCARGA LIVRE)</v>
      </c>
      <c r="E954" s="77" t="str">
        <f>'[3]Plan Tron'!E14</f>
        <v>M³</v>
      </c>
      <c r="F954" s="21">
        <v>3.63</v>
      </c>
      <c r="G954" s="9">
        <v>0.81</v>
      </c>
      <c r="H954" s="9">
        <f>'[3]Plan Tron'!F14</f>
        <v>0.96</v>
      </c>
      <c r="I954" s="9">
        <v>26.44</v>
      </c>
      <c r="J954" s="9">
        <f t="shared" si="108"/>
        <v>1.21</v>
      </c>
      <c r="K954" s="383">
        <v>3.63</v>
      </c>
      <c r="L954" s="474">
        <f>F954-K954</f>
        <v>0</v>
      </c>
      <c r="M954" s="471">
        <f t="shared" si="107"/>
        <v>0</v>
      </c>
      <c r="N954" s="405"/>
      <c r="O954" s="541"/>
      <c r="P954" s="405"/>
      <c r="Q954" s="405"/>
      <c r="S954" s="344" t="str">
        <f t="shared" si="106"/>
        <v>CARGA, MANOBRAS E DESCARGA DE AREIA, BRITA, PEDRA DE MAO E SOLOS COM CAMINHAO BASCULANTE 6 M3 (DESCARGA LIVRE)</v>
      </c>
    </row>
    <row r="955" spans="1:19" s="344" customFormat="1" hidden="1">
      <c r="A955" s="49"/>
      <c r="B955" s="17"/>
      <c r="C955" s="49"/>
      <c r="D955" s="17"/>
      <c r="E955" s="7"/>
      <c r="F955" s="10"/>
      <c r="G955" s="27"/>
      <c r="H955" s="27"/>
      <c r="I955" s="9"/>
      <c r="J955" s="9"/>
      <c r="K955" s="17"/>
      <c r="L955" s="474"/>
      <c r="M955" s="471"/>
      <c r="N955" s="405"/>
      <c r="O955" s="541"/>
      <c r="P955" s="405"/>
      <c r="Q955" s="405"/>
    </row>
    <row r="956" spans="1:19" s="344" customFormat="1" hidden="1">
      <c r="A956" s="49"/>
      <c r="B956" s="17"/>
      <c r="C956" s="49"/>
      <c r="D956" s="53" t="s">
        <v>76</v>
      </c>
      <c r="E956" s="7"/>
      <c r="F956" s="10"/>
      <c r="G956" s="27"/>
      <c r="H956" s="27"/>
      <c r="I956" s="9"/>
      <c r="J956" s="9"/>
      <c r="K956" s="383"/>
      <c r="L956" s="474"/>
      <c r="M956" s="471"/>
      <c r="N956" s="405"/>
      <c r="O956" s="541"/>
      <c r="P956" s="405"/>
      <c r="Q956" s="405"/>
      <c r="S956" s="344" t="str">
        <f t="shared" ref="S956:S972" si="109">UPPER(D956)</f>
        <v/>
      </c>
    </row>
    <row r="957" spans="1:19" s="344" customFormat="1" hidden="1">
      <c r="A957" s="45">
        <v>2</v>
      </c>
      <c r="B957" s="23"/>
      <c r="C957" s="45"/>
      <c r="D957" s="399" t="s">
        <v>2054</v>
      </c>
      <c r="E957" s="24"/>
      <c r="F957" s="21"/>
      <c r="G957" s="9"/>
      <c r="H957" s="9"/>
      <c r="I957" s="9"/>
      <c r="J957" s="9"/>
      <c r="K957" s="383"/>
      <c r="L957" s="474"/>
      <c r="M957" s="471"/>
      <c r="N957" s="405"/>
      <c r="O957" s="541"/>
      <c r="P957" s="405"/>
      <c r="Q957" s="405"/>
      <c r="S957" s="344" t="str">
        <f t="shared" si="109"/>
        <v>FUNDAÇÕES E ESTRUTURAS</v>
      </c>
    </row>
    <row r="958" spans="1:19" s="414" customFormat="1" hidden="1">
      <c r="A958" s="410" t="s">
        <v>9</v>
      </c>
      <c r="B958" s="425"/>
      <c r="C958" s="410"/>
      <c r="D958" s="426" t="s">
        <v>2227</v>
      </c>
      <c r="E958" s="424"/>
      <c r="F958" s="422"/>
      <c r="G958" s="412"/>
      <c r="H958" s="412"/>
      <c r="I958" s="412"/>
      <c r="J958" s="412"/>
      <c r="K958" s="498"/>
      <c r="L958" s="474"/>
      <c r="M958" s="471"/>
      <c r="N958" s="419"/>
      <c r="O958" s="541"/>
      <c r="P958" s="419"/>
      <c r="Q958" s="419"/>
      <c r="S958" s="414" t="str">
        <f t="shared" si="109"/>
        <v xml:space="preserve">ESTACAS </v>
      </c>
    </row>
    <row r="959" spans="1:19" s="344" customFormat="1" ht="25.5" hidden="1">
      <c r="A959" s="49" t="s">
        <v>348</v>
      </c>
      <c r="B959" s="49">
        <f>'[3]Plan Tron'!B161</f>
        <v>90812</v>
      </c>
      <c r="C959" s="49" t="str">
        <f>'[3]Plan Tron'!C161</f>
        <v>SINAPI</v>
      </c>
      <c r="D959" s="63" t="str">
        <f>'[3]Plan Tron'!D161</f>
        <v>ESTACA HÉLICE CONTÍNUA, DIÂMETRO DE 70 CM, COMPRIMENTO TOTAL ATÉ 15 M, PERFURATRIZ COM TORQUE DE 170 KN.M (EXCLUSIVE MOBILIZAÇÃO E DESMOBILIZAÇÃO). AF_02/2015</v>
      </c>
      <c r="E959" s="77" t="str">
        <f>'[3]Plan Tron'!E161</f>
        <v>M</v>
      </c>
      <c r="F959" s="21">
        <v>60</v>
      </c>
      <c r="G959" s="9">
        <v>42</v>
      </c>
      <c r="H959" s="9">
        <f>'[3]Plan Tron'!F161</f>
        <v>206.92</v>
      </c>
      <c r="I959" s="9">
        <v>26.44</v>
      </c>
      <c r="J959" s="9">
        <f>ROUND(H959*(I959/100+1),2)</f>
        <v>261.63</v>
      </c>
      <c r="K959" s="712">
        <v>60</v>
      </c>
      <c r="L959" s="474">
        <f>F959-K959</f>
        <v>0</v>
      </c>
      <c r="M959" s="471">
        <f t="shared" si="107"/>
        <v>0</v>
      </c>
      <c r="N959" s="405"/>
      <c r="O959" s="541"/>
      <c r="P959" s="405"/>
      <c r="Q959" s="405"/>
      <c r="S959" s="344" t="str">
        <f t="shared" si="109"/>
        <v>ESTACA HÉLICE CONTÍNUA, DIÂMETRO DE 70 CM, COMPRIMENTO TOTAL ATÉ 15 M, PERFURATRIZ COM TORQUE DE 170 KN.M (EXCLUSIVE MOBILIZAÇÃO E DESMOBILIZAÇÃO). AF_02/2015</v>
      </c>
    </row>
    <row r="960" spans="1:19" s="414" customFormat="1" hidden="1">
      <c r="A960" s="410" t="s">
        <v>8</v>
      </c>
      <c r="B960" s="425"/>
      <c r="C960" s="410"/>
      <c r="D960" s="426" t="s">
        <v>2055</v>
      </c>
      <c r="E960" s="424"/>
      <c r="F960" s="422"/>
      <c r="G960" s="412"/>
      <c r="H960" s="412"/>
      <c r="I960" s="412"/>
      <c r="J960" s="9"/>
      <c r="K960" s="498"/>
      <c r="L960" s="474"/>
      <c r="M960" s="471"/>
      <c r="N960" s="419"/>
      <c r="O960" s="541"/>
      <c r="P960" s="419"/>
      <c r="Q960" s="419"/>
      <c r="S960" s="414" t="str">
        <f t="shared" si="109"/>
        <v>LASTROS / FUNDAÇÕES DIRETAS</v>
      </c>
    </row>
    <row r="961" spans="1:19" s="414" customFormat="1" hidden="1">
      <c r="A961" s="410" t="s">
        <v>317</v>
      </c>
      <c r="B961" s="425"/>
      <c r="C961" s="410"/>
      <c r="D961" s="426" t="s">
        <v>2056</v>
      </c>
      <c r="E961" s="424"/>
      <c r="F961" s="422"/>
      <c r="G961" s="412"/>
      <c r="H961" s="412"/>
      <c r="I961" s="412"/>
      <c r="J961" s="9"/>
      <c r="K961" s="498"/>
      <c r="L961" s="474"/>
      <c r="M961" s="471"/>
      <c r="N961" s="419"/>
      <c r="O961" s="541"/>
      <c r="P961" s="419"/>
      <c r="Q961" s="419"/>
      <c r="S961" s="414" t="str">
        <f t="shared" si="109"/>
        <v>LASTRO DE PEDRA BRITADA E FUNDAÇÕES EM BALDRAME.</v>
      </c>
    </row>
    <row r="962" spans="1:19" s="344" customFormat="1" hidden="1">
      <c r="A962" s="49" t="s">
        <v>318</v>
      </c>
      <c r="B962" s="49">
        <f>'[3]Plan Tron'!B18</f>
        <v>6514</v>
      </c>
      <c r="C962" s="49" t="str">
        <f>'[3]Plan Tron'!C18</f>
        <v>SINAPI</v>
      </c>
      <c r="D962" s="63" t="str">
        <f>'[3]Plan Tron'!D18</f>
        <v xml:space="preserve">FORNECIMENTO E LANCAMENTO DE BRITA N. 4 </v>
      </c>
      <c r="E962" s="77" t="str">
        <f>'[3]Plan Tron'!E18</f>
        <v>M³</v>
      </c>
      <c r="F962" s="21">
        <v>0.26</v>
      </c>
      <c r="G962" s="9">
        <f>G78</f>
        <v>74.28</v>
      </c>
      <c r="H962" s="9">
        <f>'[3]Plan Tron'!F18</f>
        <v>88.38</v>
      </c>
      <c r="I962" s="9">
        <v>26.44</v>
      </c>
      <c r="J962" s="9">
        <f t="shared" ref="J962:J972" si="110">ROUND(H962*(I962/100+1),2)</f>
        <v>111.75</v>
      </c>
      <c r="K962" s="383">
        <v>0.26</v>
      </c>
      <c r="L962" s="474">
        <f>F962-K962</f>
        <v>0</v>
      </c>
      <c r="M962" s="471">
        <f t="shared" si="107"/>
        <v>0</v>
      </c>
      <c r="N962" s="405"/>
      <c r="O962" s="541"/>
      <c r="P962" s="405"/>
      <c r="Q962" s="405"/>
      <c r="S962" s="344" t="str">
        <f t="shared" si="109"/>
        <v xml:space="preserve">FORNECIMENTO E LANCAMENTO DE BRITA N. 4 </v>
      </c>
    </row>
    <row r="963" spans="1:19" s="414" customFormat="1" hidden="1">
      <c r="A963" s="410" t="s">
        <v>7</v>
      </c>
      <c r="B963" s="646"/>
      <c r="C963" s="410"/>
      <c r="D963" s="647" t="s">
        <v>2058</v>
      </c>
      <c r="E963" s="648"/>
      <c r="F963" s="649"/>
      <c r="G963" s="412"/>
      <c r="H963" s="412"/>
      <c r="I963" s="412"/>
      <c r="J963" s="9"/>
      <c r="K963" s="498"/>
      <c r="L963" s="474"/>
      <c r="M963" s="471"/>
      <c r="N963" s="419"/>
      <c r="O963" s="541"/>
      <c r="P963" s="419"/>
      <c r="Q963" s="419"/>
      <c r="S963" s="414" t="str">
        <f t="shared" si="109"/>
        <v>FORMAS / CIMBRAMENTOS / ESCORAMENTOS</v>
      </c>
    </row>
    <row r="964" spans="1:19" s="414" customFormat="1" hidden="1">
      <c r="A964" s="410" t="s">
        <v>314</v>
      </c>
      <c r="B964" s="646"/>
      <c r="C964" s="410"/>
      <c r="D964" s="647" t="s">
        <v>2121</v>
      </c>
      <c r="E964" s="648"/>
      <c r="F964" s="649"/>
      <c r="G964" s="412"/>
      <c r="H964" s="412"/>
      <c r="I964" s="412"/>
      <c r="J964" s="9"/>
      <c r="K964" s="498"/>
      <c r="L964" s="474"/>
      <c r="M964" s="471"/>
      <c r="N964" s="419"/>
      <c r="O964" s="541"/>
      <c r="P964" s="419"/>
      <c r="Q964" s="419"/>
      <c r="S964" s="414" t="str">
        <f t="shared" si="109"/>
        <v>FORMA PARA FUNDAÇÃO E BALDRAME</v>
      </c>
    </row>
    <row r="965" spans="1:19" s="344" customFormat="1" hidden="1">
      <c r="A965" s="49" t="s">
        <v>313</v>
      </c>
      <c r="B965" s="49" t="str">
        <f>'[3]Plan Tron'!B65</f>
        <v xml:space="preserve">090206 </v>
      </c>
      <c r="C965" s="49" t="str">
        <f>'[3]Plan Tron'!C65</f>
        <v>CPOS</v>
      </c>
      <c r="D965" s="63" t="str">
        <f>'[3]Plan Tron'!D65</f>
        <v xml:space="preserve">FORMA CURVA EM COMPENSADO PARA ESTRUTURA APARENTE </v>
      </c>
      <c r="E965" s="34" t="str">
        <f>'[3]Plan Tron'!E65</f>
        <v>M²</v>
      </c>
      <c r="F965" s="21">
        <v>7.27</v>
      </c>
      <c r="G965" s="9">
        <v>32.51</v>
      </c>
      <c r="H965" s="9">
        <f>'[3]Plan Tron'!F65</f>
        <v>107.03</v>
      </c>
      <c r="I965" s="9">
        <v>26.44</v>
      </c>
      <c r="J965" s="9">
        <f t="shared" si="110"/>
        <v>135.33000000000001</v>
      </c>
      <c r="K965" s="383">
        <v>7.27</v>
      </c>
      <c r="L965" s="474">
        <f>F965-K965</f>
        <v>0</v>
      </c>
      <c r="M965" s="471">
        <f t="shared" si="107"/>
        <v>0</v>
      </c>
      <c r="N965" s="405"/>
      <c r="O965" s="541"/>
      <c r="P965" s="405"/>
      <c r="Q965" s="405"/>
      <c r="S965" s="344" t="str">
        <f t="shared" si="109"/>
        <v xml:space="preserve">FORMA CURVA EM COMPENSADO PARA ESTRUTURA APARENTE </v>
      </c>
    </row>
    <row r="966" spans="1:19" s="414" customFormat="1" hidden="1">
      <c r="A966" s="410" t="s">
        <v>6</v>
      </c>
      <c r="B966" s="425"/>
      <c r="C966" s="410"/>
      <c r="D966" s="426" t="s">
        <v>2059</v>
      </c>
      <c r="E966" s="421"/>
      <c r="F966" s="423"/>
      <c r="G966" s="412"/>
      <c r="H966" s="412"/>
      <c r="I966" s="412"/>
      <c r="J966" s="9"/>
      <c r="K966" s="498"/>
      <c r="L966" s="474"/>
      <c r="M966" s="471"/>
      <c r="N966" s="419"/>
      <c r="O966" s="541"/>
      <c r="P966" s="419"/>
      <c r="Q966" s="419"/>
      <c r="S966" s="414" t="str">
        <f t="shared" si="109"/>
        <v>ARMADURAS</v>
      </c>
    </row>
    <row r="967" spans="1:19" s="414" customFormat="1" hidden="1">
      <c r="A967" s="410" t="s">
        <v>311</v>
      </c>
      <c r="B967" s="425"/>
      <c r="C967" s="410"/>
      <c r="D967" s="426" t="s">
        <v>2060</v>
      </c>
      <c r="E967" s="421"/>
      <c r="F967" s="623"/>
      <c r="G967" s="412"/>
      <c r="H967" s="412"/>
      <c r="I967" s="412"/>
      <c r="J967" s="9"/>
      <c r="K967" s="498"/>
      <c r="L967" s="474"/>
      <c r="M967" s="471"/>
      <c r="N967" s="419"/>
      <c r="O967" s="541"/>
      <c r="P967" s="419"/>
      <c r="Q967" s="419"/>
      <c r="S967" s="414" t="str">
        <f t="shared" si="109"/>
        <v>ARMAÇÃO EM AÇO CA-50 PARA ESTRUTURAS DE CONCRETO.</v>
      </c>
    </row>
    <row r="968" spans="1:19" s="344" customFormat="1" ht="25.5" hidden="1">
      <c r="A968" s="49" t="s">
        <v>310</v>
      </c>
      <c r="B968" s="49">
        <f>'[3]Plan Tron'!B21</f>
        <v>92761</v>
      </c>
      <c r="C968" s="49" t="str">
        <f>'[3]Plan Tron'!C21</f>
        <v>SINAPI</v>
      </c>
      <c r="D968" s="63" t="str">
        <f>'[3]Plan Tron'!D21</f>
        <v>ARMAÇÃO DE PILAR OU VIGA DE UMA ESTRUTURA CONVENCIONAL DE CONCRETO ARMADO EM UM EDIFÍCIO DE MÚLTIPLOS PAVIMENTOS UTILIZANDO AÇO CA-50 DE 8.0MM - MONTAGEM. AF_12/2015</v>
      </c>
      <c r="E968" s="672" t="str">
        <f>'[3]Plan Tron'!E21</f>
        <v>KG</v>
      </c>
      <c r="F968" s="21">
        <v>131.19999999999999</v>
      </c>
      <c r="G968" s="9">
        <f>G85</f>
        <v>5.9</v>
      </c>
      <c r="H968" s="9">
        <f>'[3]Plan Tron'!F21</f>
        <v>9.44</v>
      </c>
      <c r="I968" s="9">
        <v>26.44</v>
      </c>
      <c r="J968" s="9">
        <f t="shared" si="110"/>
        <v>11.94</v>
      </c>
      <c r="K968" s="658">
        <v>131.19999999999999</v>
      </c>
      <c r="L968" s="474">
        <f>F968-K968</f>
        <v>0</v>
      </c>
      <c r="M968" s="471">
        <f t="shared" si="107"/>
        <v>0</v>
      </c>
      <c r="N968" s="405"/>
      <c r="O968" s="541"/>
      <c r="P968" s="405"/>
      <c r="Q968" s="405"/>
      <c r="S968" s="344" t="str">
        <f t="shared" si="109"/>
        <v>ARMAÇÃO DE PILAR OU VIGA DE UMA ESTRUTURA CONVENCIONAL DE CONCRETO ARMADO EM UM EDIFÍCIO DE MÚLTIPLOS PAVIMENTOS UTILIZANDO AÇO CA-50 DE 8.0MM - MONTAGEM. AF_12/2015</v>
      </c>
    </row>
    <row r="969" spans="1:19" s="344" customFormat="1" ht="25.5" hidden="1">
      <c r="A969" s="49" t="s">
        <v>310</v>
      </c>
      <c r="B969" s="49">
        <f>'[3]Plan Tron'!B90</f>
        <v>92763</v>
      </c>
      <c r="C969" s="49" t="str">
        <f>'[3]Plan Tron'!C90</f>
        <v>SINAPI</v>
      </c>
      <c r="D969" s="63" t="str">
        <f>'[3]Plan Tron'!D90</f>
        <v>ARMAÇÃO DE PILAR OU VIGA DE UMA ESTRUTURA CONVENCIONAL DE CONCRETO ARMADO EM UM EDIFÍCIO DE MÚLTIPLOS PAVIMENTOS UTILIZANDO AÇO CA-50 DE 12.5 MM - MONTAGEM. AF_12/2015</v>
      </c>
      <c r="E969" s="672" t="str">
        <f>'[3]Plan Tron'!E90</f>
        <v>KG</v>
      </c>
      <c r="F969" s="21">
        <v>977.2</v>
      </c>
      <c r="G969" s="9">
        <v>6.66</v>
      </c>
      <c r="H969" s="9">
        <f>'[3]Plan Tron'!F90</f>
        <v>6.29</v>
      </c>
      <c r="I969" s="9">
        <v>26.44</v>
      </c>
      <c r="J969" s="9">
        <f t="shared" si="110"/>
        <v>7.95</v>
      </c>
      <c r="K969" s="383">
        <v>977.2</v>
      </c>
      <c r="L969" s="474">
        <f>F969-K969</f>
        <v>0</v>
      </c>
      <c r="M969" s="471">
        <f t="shared" si="107"/>
        <v>0</v>
      </c>
      <c r="N969" s="405"/>
      <c r="O969" s="541"/>
      <c r="P969" s="405"/>
      <c r="Q969" s="405"/>
      <c r="S969" s="344" t="str">
        <f t="shared" si="109"/>
        <v>ARMAÇÃO DE PILAR OU VIGA DE UMA ESTRUTURA CONVENCIONAL DE CONCRETO ARMADO EM UM EDIFÍCIO DE MÚLTIPLOS PAVIMENTOS UTILIZANDO AÇO CA-50 DE 12.5 MM - MONTAGEM. AF_12/2015</v>
      </c>
    </row>
    <row r="970" spans="1:19" s="414" customFormat="1" hidden="1">
      <c r="A970" s="410" t="s">
        <v>5</v>
      </c>
      <c r="B970" s="646"/>
      <c r="C970" s="410"/>
      <c r="D970" s="647" t="s">
        <v>2061</v>
      </c>
      <c r="E970" s="648"/>
      <c r="F970" s="649"/>
      <c r="G970" s="412"/>
      <c r="H970" s="412"/>
      <c r="I970" s="412"/>
      <c r="J970" s="9"/>
      <c r="K970" s="498"/>
      <c r="L970" s="474"/>
      <c r="M970" s="471"/>
      <c r="N970" s="419"/>
      <c r="O970" s="541"/>
      <c r="P970" s="419"/>
      <c r="Q970" s="419"/>
      <c r="S970" s="414" t="str">
        <f t="shared" si="109"/>
        <v>CONCRETOS</v>
      </c>
    </row>
    <row r="971" spans="1:19" s="414" customFormat="1" hidden="1">
      <c r="A971" s="410" t="s">
        <v>346</v>
      </c>
      <c r="B971" s="425"/>
      <c r="C971" s="410"/>
      <c r="D971" s="426" t="s">
        <v>2062</v>
      </c>
      <c r="E971" s="421"/>
      <c r="F971" s="623"/>
      <c r="G971" s="412"/>
      <c r="H971" s="412"/>
      <c r="I971" s="412"/>
      <c r="J971" s="9"/>
      <c r="K971" s="498"/>
      <c r="L971" s="474"/>
      <c r="M971" s="471"/>
      <c r="N971" s="419"/>
      <c r="O971" s="541"/>
      <c r="P971" s="419"/>
      <c r="Q971" s="419"/>
      <c r="S971" s="414" t="str">
        <f t="shared" si="109"/>
        <v>CONCRETO BOMBEADO</v>
      </c>
    </row>
    <row r="972" spans="1:19" s="344" customFormat="1" hidden="1">
      <c r="A972" s="49" t="s">
        <v>345</v>
      </c>
      <c r="B972" s="49">
        <f>'[3]Plan Tron'!B26</f>
        <v>110135</v>
      </c>
      <c r="C972" s="49" t="str">
        <f>'[3]Plan Tron'!C26</f>
        <v>CPOS</v>
      </c>
      <c r="D972" s="63" t="str">
        <f>UPPER('[3]Plan Tron'!D26)</f>
        <v xml:space="preserve">CONCRETO USINADO, FCK = 40,0 MPA - PARA BOMBEAMENTO </v>
      </c>
      <c r="E972" s="672" t="str">
        <f>'[3]Plan Tron'!E26</f>
        <v>M³</v>
      </c>
      <c r="F972" s="21">
        <v>4.67</v>
      </c>
      <c r="G972" s="9">
        <v>357.28000000000003</v>
      </c>
      <c r="H972" s="9">
        <f>'[3]Plan Tron'!F26</f>
        <v>351.18</v>
      </c>
      <c r="I972" s="9">
        <v>26.44</v>
      </c>
      <c r="J972" s="9">
        <f t="shared" si="110"/>
        <v>444.03</v>
      </c>
      <c r="K972" s="658">
        <v>4.67</v>
      </c>
      <c r="L972" s="474">
        <f>F972-K972</f>
        <v>0</v>
      </c>
      <c r="M972" s="471">
        <f t="shared" si="107"/>
        <v>0</v>
      </c>
      <c r="N972" s="405"/>
      <c r="O972" s="541"/>
      <c r="P972" s="405"/>
      <c r="Q972" s="405"/>
      <c r="S972" s="344" t="str">
        <f t="shared" si="109"/>
        <v xml:space="preserve">CONCRETO USINADO, FCK = 40,0 MPA - PARA BOMBEAMENTO </v>
      </c>
    </row>
    <row r="973" spans="1:19" s="344" customFormat="1" hidden="1">
      <c r="A973" s="49"/>
      <c r="B973" s="17"/>
      <c r="C973" s="49"/>
      <c r="D973" s="17"/>
      <c r="E973" s="7"/>
      <c r="F973" s="10"/>
      <c r="G973" s="27"/>
      <c r="H973" s="27"/>
      <c r="I973" s="9"/>
      <c r="J973" s="9"/>
      <c r="K973" s="17"/>
      <c r="L973" s="474"/>
      <c r="M973" s="471"/>
      <c r="N973" s="405"/>
      <c r="O973" s="541"/>
      <c r="P973" s="405"/>
      <c r="Q973" s="405"/>
    </row>
    <row r="974" spans="1:19" s="344" customFormat="1">
      <c r="A974" s="49"/>
      <c r="B974" s="17"/>
      <c r="C974" s="49"/>
      <c r="D974" s="53" t="s">
        <v>76</v>
      </c>
      <c r="E974" s="7"/>
      <c r="F974" s="10"/>
      <c r="G974" s="27"/>
      <c r="H974" s="27"/>
      <c r="I974" s="9"/>
      <c r="J974" s="9"/>
      <c r="K974" s="383"/>
      <c r="L974" s="474"/>
      <c r="M974" s="471"/>
      <c r="N974" s="405"/>
      <c r="O974" s="541"/>
      <c r="P974" s="405"/>
      <c r="Q974" s="405"/>
      <c r="S974" s="344" t="str">
        <f>UPPER(D974)</f>
        <v/>
      </c>
    </row>
    <row r="975" spans="1:19" s="344" customFormat="1">
      <c r="A975" s="59">
        <v>3</v>
      </c>
      <c r="B975" s="65"/>
      <c r="C975" s="59"/>
      <c r="D975" s="169" t="s">
        <v>2107</v>
      </c>
      <c r="E975" s="18"/>
      <c r="F975" s="19"/>
      <c r="G975" s="36"/>
      <c r="H975" s="36"/>
      <c r="I975" s="9"/>
      <c r="J975" s="9"/>
      <c r="K975" s="383"/>
      <c r="L975" s="474"/>
      <c r="M975" s="471"/>
      <c r="N975" s="405"/>
      <c r="O975" s="541"/>
      <c r="P975" s="405"/>
      <c r="Q975" s="405"/>
      <c r="S975" s="344" t="str">
        <f>UPPER(D975)</f>
        <v>PINTURAS</v>
      </c>
    </row>
    <row r="976" spans="1:19" s="414" customFormat="1">
      <c r="A976" s="650" t="s">
        <v>144</v>
      </c>
      <c r="B976" s="411"/>
      <c r="C976" s="410"/>
      <c r="D976" s="429" t="s">
        <v>2113</v>
      </c>
      <c r="E976" s="617"/>
      <c r="F976" s="422"/>
      <c r="G976" s="619"/>
      <c r="H976" s="619"/>
      <c r="I976" s="412"/>
      <c r="J976" s="412"/>
      <c r="K976" s="498"/>
      <c r="L976" s="474"/>
      <c r="M976" s="471"/>
      <c r="N976" s="419"/>
      <c r="O976" s="541"/>
      <c r="P976" s="419"/>
      <c r="Q976" s="419"/>
      <c r="S976" s="414" t="str">
        <f>UPPER(D976)</f>
        <v>PINTURA EM CONCRETO APARENTE</v>
      </c>
    </row>
    <row r="977" spans="1:19" s="344" customFormat="1">
      <c r="A977" s="55" t="s">
        <v>143</v>
      </c>
      <c r="B977" s="49">
        <f>'[3]Plan Tron'!B75</f>
        <v>84678</v>
      </c>
      <c r="C977" s="49" t="str">
        <f>'[3]Plan Tron'!C75</f>
        <v>SINAPI</v>
      </c>
      <c r="D977" s="130" t="str">
        <f>'[3]Plan Tron'!D75</f>
        <v xml:space="preserve">VERNIZ POLIURETANO BRILHANTE EM CONCRETO OU TIJOLO, TRES DEMAOS </v>
      </c>
      <c r="E977" s="77" t="str">
        <f>'[3]Plan Tron'!E75</f>
        <v>M²</v>
      </c>
      <c r="F977" s="21">
        <v>12.45</v>
      </c>
      <c r="G977" s="27">
        <v>11.75</v>
      </c>
      <c r="H977" s="27">
        <f>'[3]Plan Tron'!F75</f>
        <v>16.84</v>
      </c>
      <c r="I977" s="9">
        <v>26.44</v>
      </c>
      <c r="J977" s="9">
        <f>ROUND(H977*(I977/100+1),2)</f>
        <v>21.29</v>
      </c>
      <c r="K977" s="383">
        <v>0</v>
      </c>
      <c r="L977" s="474">
        <f>F977-K977</f>
        <v>12.45</v>
      </c>
      <c r="M977" s="471">
        <f t="shared" si="107"/>
        <v>265.06</v>
      </c>
      <c r="N977" s="405"/>
      <c r="O977" s="541"/>
      <c r="P977" s="405"/>
      <c r="Q977" s="405"/>
      <c r="S977" s="344" t="str">
        <f>UPPER(D977)</f>
        <v xml:space="preserve">VERNIZ POLIURETANO BRILHANTE EM CONCRETO OU TIJOLO, TRES DEMAOS </v>
      </c>
    </row>
    <row r="978" spans="1:19">
      <c r="A978" s="49"/>
      <c r="B978" s="17"/>
      <c r="C978" s="49"/>
      <c r="D978" s="65"/>
      <c r="E978" s="7"/>
      <c r="F978" s="10"/>
      <c r="G978" s="312"/>
      <c r="H978" s="9"/>
      <c r="I978" s="9"/>
      <c r="J978" s="9"/>
      <c r="K978" s="65"/>
      <c r="L978" s="474"/>
      <c r="M978" s="471"/>
      <c r="N978" s="405"/>
      <c r="O978" s="541"/>
      <c r="P978" s="405"/>
      <c r="Q978" s="405"/>
    </row>
    <row r="979" spans="1:19">
      <c r="A979" s="49"/>
      <c r="B979" s="17"/>
      <c r="C979" s="49"/>
      <c r="D979" s="53" t="s">
        <v>76</v>
      </c>
      <c r="E979" s="7"/>
      <c r="F979" s="10"/>
      <c r="G979" s="314"/>
      <c r="H979" s="27"/>
      <c r="I979" s="9"/>
      <c r="J979" s="9"/>
      <c r="K979" s="383"/>
      <c r="L979" s="474"/>
      <c r="M979" s="471"/>
      <c r="N979" s="405"/>
      <c r="O979" s="541"/>
      <c r="P979" s="405"/>
      <c r="Q979" s="405"/>
      <c r="S979" s="344" t="str">
        <f>UPPER(D979)</f>
        <v/>
      </c>
    </row>
    <row r="980" spans="1:19">
      <c r="A980" s="69"/>
      <c r="B980" s="17"/>
      <c r="C980" s="69"/>
      <c r="D980" s="53" t="s">
        <v>76</v>
      </c>
      <c r="E980" s="7"/>
      <c r="F980" s="10"/>
      <c r="G980" s="314"/>
      <c r="H980" s="27"/>
      <c r="I980" s="9"/>
      <c r="J980" s="9"/>
      <c r="K980" s="383"/>
      <c r="L980" s="474"/>
      <c r="M980" s="471"/>
      <c r="N980" s="405"/>
      <c r="O980" s="541"/>
      <c r="P980" s="405"/>
      <c r="Q980" s="405"/>
      <c r="S980" s="344" t="str">
        <f>UPPER(D980)</f>
        <v/>
      </c>
    </row>
    <row r="981" spans="1:19">
      <c r="A981" s="45">
        <v>4</v>
      </c>
      <c r="B981" s="68"/>
      <c r="C981" s="45"/>
      <c r="D981" s="400" t="s">
        <v>2109</v>
      </c>
      <c r="E981" s="32"/>
      <c r="F981" s="8"/>
      <c r="G981" s="321"/>
      <c r="H981" s="33"/>
      <c r="I981" s="9"/>
      <c r="J981" s="9"/>
      <c r="K981" s="383"/>
      <c r="L981" s="474"/>
      <c r="M981" s="471"/>
      <c r="N981" s="405"/>
      <c r="O981" s="541"/>
      <c r="P981" s="405"/>
      <c r="Q981" s="405"/>
      <c r="S981" s="344" t="str">
        <f>UPPER(D981)</f>
        <v>MONTAGEM DE MATERIAIS E EQUIPAMENTOS HIDRÁULICOS, HIDROMECÂNICOS E DIVERSOS</v>
      </c>
    </row>
    <row r="982" spans="1:19" s="344" customFormat="1" ht="25.5">
      <c r="A982" s="49" t="s">
        <v>139</v>
      </c>
      <c r="B982" s="11" t="s">
        <v>308</v>
      </c>
      <c r="C982" s="49"/>
      <c r="D982" s="84" t="s">
        <v>2228</v>
      </c>
      <c r="E982" s="24" t="s">
        <v>2341</v>
      </c>
      <c r="F982" s="10">
        <v>1</v>
      </c>
      <c r="G982" s="27">
        <v>5262.579999999999</v>
      </c>
      <c r="H982" s="9">
        <f t="shared" ref="H982" si="111">G982*$P$7</f>
        <v>6079.8586739999992</v>
      </c>
      <c r="I982" s="9">
        <v>26.44</v>
      </c>
      <c r="J982" s="9">
        <f>ROUND(H982*(I982/100+1),2)</f>
        <v>7687.37</v>
      </c>
      <c r="K982" s="383">
        <v>0</v>
      </c>
      <c r="L982" s="474">
        <f>F982-K982</f>
        <v>1</v>
      </c>
      <c r="M982" s="471">
        <f t="shared" si="107"/>
        <v>7687.37</v>
      </c>
      <c r="N982" s="405"/>
      <c r="O982" s="541"/>
      <c r="P982" s="405"/>
      <c r="Q982" s="405"/>
      <c r="S982" s="344" t="str">
        <f>UPPER(D982)</f>
        <v>MONTAGEM HIDRÁULICA E HIDROMECÂNICA DE EQUIPAMENTOS, VÁLVULAS, TUBOS, PEÇAS E ACESSÓRIOS DA LISTA DE MATERIAL DO RESERVATÓRIO ELEVADO.</v>
      </c>
    </row>
    <row r="983" spans="1:19">
      <c r="A983" s="138"/>
      <c r="B983" s="112"/>
      <c r="C983" s="138"/>
      <c r="D983" s="112"/>
      <c r="E983" s="140"/>
      <c r="F983" s="8"/>
      <c r="G983" s="323"/>
      <c r="H983" s="141"/>
      <c r="I983" s="141"/>
      <c r="J983" s="141"/>
      <c r="K983" s="112"/>
      <c r="L983" s="474"/>
      <c r="M983" s="472"/>
      <c r="N983" s="405"/>
      <c r="O983" s="541"/>
      <c r="P983" s="405"/>
      <c r="Q983" s="405"/>
    </row>
    <row r="984" spans="1:19">
      <c r="A984" s="138"/>
      <c r="B984" s="112"/>
      <c r="C984" s="138"/>
      <c r="D984" s="112"/>
      <c r="E984" s="140"/>
      <c r="F984" s="8"/>
      <c r="G984" s="323"/>
      <c r="H984" s="141"/>
      <c r="I984" s="141"/>
      <c r="J984" s="141"/>
      <c r="K984" s="112"/>
      <c r="L984" s="474"/>
      <c r="M984" s="472"/>
      <c r="N984" s="405"/>
      <c r="O984" s="541"/>
      <c r="P984" s="405"/>
      <c r="Q984" s="405"/>
    </row>
    <row r="985" spans="1:19">
      <c r="A985" s="138"/>
      <c r="B985" s="112"/>
      <c r="C985" s="138"/>
      <c r="D985" s="515" t="s">
        <v>2364</v>
      </c>
      <c r="E985" s="140"/>
      <c r="F985" s="8"/>
      <c r="G985" s="323"/>
      <c r="H985" s="141"/>
      <c r="I985" s="141"/>
      <c r="J985" s="516"/>
      <c r="K985" s="515"/>
      <c r="L985" s="508"/>
      <c r="M985" s="505">
        <f>SUM(M945:M983)</f>
        <v>7952.43</v>
      </c>
      <c r="N985" s="405"/>
      <c r="O985" s="541"/>
      <c r="P985" s="405"/>
      <c r="Q985" s="405"/>
      <c r="S985" s="344" t="str">
        <f>UPPER(K985)</f>
        <v/>
      </c>
    </row>
    <row r="986" spans="1:19">
      <c r="A986" s="138"/>
      <c r="B986" s="112"/>
      <c r="C986" s="138"/>
      <c r="D986" s="400" t="s">
        <v>76</v>
      </c>
      <c r="E986" s="140" t="s">
        <v>76</v>
      </c>
      <c r="F986" s="8"/>
      <c r="G986" s="323"/>
      <c r="H986" s="141"/>
      <c r="I986" s="141"/>
      <c r="J986" s="141"/>
      <c r="K986" s="383"/>
      <c r="L986" s="474"/>
      <c r="M986" s="471"/>
      <c r="N986" s="405"/>
      <c r="O986" s="541"/>
      <c r="P986" s="405"/>
      <c r="Q986" s="405"/>
      <c r="S986" s="344" t="str">
        <f t="shared" ref="S986:S1000" si="112">UPPER(D986)</f>
        <v/>
      </c>
    </row>
    <row r="987" spans="1:19" s="450" customFormat="1">
      <c r="A987" s="445" t="s">
        <v>49</v>
      </c>
      <c r="B987" s="446"/>
      <c r="C987" s="447"/>
      <c r="D987" s="448" t="s">
        <v>2001</v>
      </c>
      <c r="E987" s="453" t="s">
        <v>76</v>
      </c>
      <c r="F987" s="446"/>
      <c r="G987" s="446"/>
      <c r="H987" s="446"/>
      <c r="I987" s="446"/>
      <c r="J987" s="446"/>
      <c r="K987" s="473"/>
      <c r="L987" s="478"/>
      <c r="M987" s="479"/>
      <c r="N987" s="454"/>
      <c r="O987" s="541"/>
      <c r="P987" s="454"/>
      <c r="Q987" s="454"/>
      <c r="S987" s="450" t="str">
        <f t="shared" si="112"/>
        <v xml:space="preserve">INSTALAÇÕES ELÉTRICAS (RESERVATÓRIO ELEVADO DE ÁGUA DE PROCESSOS 50M³) </v>
      </c>
    </row>
    <row r="988" spans="1:19" ht="25.5">
      <c r="A988" s="45"/>
      <c r="B988" s="57"/>
      <c r="C988" s="45"/>
      <c r="D988" s="53" t="s">
        <v>2229</v>
      </c>
      <c r="E988" s="47" t="s">
        <v>76</v>
      </c>
      <c r="F988" s="48"/>
      <c r="G988" s="312"/>
      <c r="H988" s="9"/>
      <c r="I988" s="9"/>
      <c r="J988" s="9"/>
      <c r="K988" s="383"/>
      <c r="L988" s="474"/>
      <c r="M988" s="471"/>
      <c r="N988" s="405"/>
      <c r="O988" s="541"/>
      <c r="P988" s="405"/>
      <c r="Q988" s="405"/>
      <c r="S988" s="344" t="str">
        <f t="shared" si="112"/>
        <v>MONTAGEM DE MATERIAIS E EQUIPAMENTOS ELÉTRICOS, DE AUTOMAÇÃO E DIVERSOS - RES. ELEVADO DE PROCESSOS</v>
      </c>
    </row>
    <row r="989" spans="1:19">
      <c r="A989" s="45">
        <v>1</v>
      </c>
      <c r="B989" s="57"/>
      <c r="C989" s="45"/>
      <c r="D989" s="53" t="s">
        <v>2230</v>
      </c>
      <c r="E989" s="47" t="s">
        <v>76</v>
      </c>
      <c r="F989" s="48"/>
      <c r="G989" s="9"/>
      <c r="H989" s="9"/>
      <c r="I989" s="9"/>
      <c r="J989" s="9"/>
      <c r="K989" s="383"/>
      <c r="L989" s="474"/>
      <c r="M989" s="471"/>
      <c r="N989" s="405"/>
      <c r="O989" s="541"/>
      <c r="P989" s="405"/>
      <c r="Q989" s="405"/>
      <c r="S989" s="344" t="str">
        <f t="shared" si="112"/>
        <v>MONTAGEM ELÉTRICA - RES. PROCESSOS</v>
      </c>
    </row>
    <row r="990" spans="1:19" s="344" customFormat="1">
      <c r="A990" s="49" t="s">
        <v>20</v>
      </c>
      <c r="B990" s="50" t="s">
        <v>1199</v>
      </c>
      <c r="C990" s="49"/>
      <c r="D990" s="130" t="s">
        <v>2150</v>
      </c>
      <c r="E990" s="18" t="s">
        <v>2337</v>
      </c>
      <c r="F990" s="36">
        <v>1</v>
      </c>
      <c r="G990" s="9">
        <v>1089.8400000000001</v>
      </c>
      <c r="H990" s="9">
        <f t="shared" ref="H990:H991" si="113">G990*$P$7</f>
        <v>1259.0921520000002</v>
      </c>
      <c r="I990" s="9">
        <v>26.44</v>
      </c>
      <c r="J990" s="9">
        <f>ROUND(H990*(I990/100+1),2)</f>
        <v>1592</v>
      </c>
      <c r="K990" s="383">
        <v>0</v>
      </c>
      <c r="L990" s="474">
        <f>F990-K990</f>
        <v>1</v>
      </c>
      <c r="M990" s="471">
        <f t="shared" ref="M990:M1000" si="114">ROUND(L990*J990,2)</f>
        <v>1592</v>
      </c>
      <c r="N990" s="405"/>
      <c r="O990" s="541"/>
      <c r="P990" s="405"/>
      <c r="Q990" s="405"/>
      <c r="S990" s="344" t="str">
        <f t="shared" si="112"/>
        <v>MONTAGEM DE MATERIAIS ELÉTRICOS DE  BAIXA TENSÃO, CONFORME COMPOSIÇÃO EM ANEXO.</v>
      </c>
    </row>
    <row r="991" spans="1:19" s="344" customFormat="1">
      <c r="A991" s="49" t="s">
        <v>19</v>
      </c>
      <c r="B991" s="50" t="s">
        <v>812</v>
      </c>
      <c r="C991" s="49"/>
      <c r="D991" s="130" t="s">
        <v>2166</v>
      </c>
      <c r="E991" s="18" t="s">
        <v>2337</v>
      </c>
      <c r="F991" s="36">
        <v>1</v>
      </c>
      <c r="G991" s="9">
        <v>1816.4</v>
      </c>
      <c r="H991" s="9">
        <f t="shared" si="113"/>
        <v>2098.4869200000003</v>
      </c>
      <c r="I991" s="9">
        <v>26.44</v>
      </c>
      <c r="J991" s="9">
        <f>ROUND(H991*(I991/100+1),2)</f>
        <v>2653.33</v>
      </c>
      <c r="K991" s="383">
        <v>0</v>
      </c>
      <c r="L991" s="474">
        <f>F991-K991</f>
        <v>1</v>
      </c>
      <c r="M991" s="471">
        <f t="shared" si="114"/>
        <v>2653.33</v>
      </c>
      <c r="N991" s="405"/>
      <c r="O991" s="541"/>
      <c r="P991" s="405"/>
      <c r="Q991" s="405"/>
      <c r="S991" s="344" t="str">
        <f t="shared" si="112"/>
        <v>INSTALAÇÃO E COMISSIONAMENTO DE INSTRUMENTOS, CONFORME COMPOSIÇÃO EM ANEXO.</v>
      </c>
    </row>
    <row r="992" spans="1:19" s="414" customFormat="1">
      <c r="A992" s="410" t="s">
        <v>18</v>
      </c>
      <c r="B992" s="428"/>
      <c r="C992" s="410"/>
      <c r="D992" s="429" t="s">
        <v>2091</v>
      </c>
      <c r="E992" s="421"/>
      <c r="F992" s="623"/>
      <c r="G992" s="412"/>
      <c r="H992" s="412"/>
      <c r="I992" s="412"/>
      <c r="J992" s="9"/>
      <c r="K992" s="383"/>
      <c r="L992" s="474"/>
      <c r="M992" s="471"/>
      <c r="N992" s="419"/>
      <c r="O992" s="541"/>
      <c r="P992" s="419"/>
      <c r="Q992" s="419"/>
      <c r="S992" s="414" t="str">
        <f t="shared" si="112"/>
        <v>ELETRODUTOS E AFINS</v>
      </c>
    </row>
    <row r="993" spans="1:37" s="389" customFormat="1">
      <c r="A993" s="345" t="s">
        <v>201</v>
      </c>
      <c r="B993" s="49" t="str">
        <f>'[3]Plan Tron'!B53</f>
        <v xml:space="preserve">380404 </v>
      </c>
      <c r="C993" s="49" t="str">
        <f>'[3]Plan Tron'!C53</f>
        <v>CPOS</v>
      </c>
      <c r="D993" s="612" t="str">
        <f>'[3]Plan Tron'!D53</f>
        <v xml:space="preserve">ELETRODUTO DE FERRO GALVANIZADO, MÉDIO DE 3/4' - COM ACESSÓRIOS </v>
      </c>
      <c r="E993" s="49" t="str">
        <f>'[3]Plan Tron'!E53</f>
        <v>M</v>
      </c>
      <c r="F993" s="346">
        <v>30</v>
      </c>
      <c r="G993" s="11">
        <v>19.86</v>
      </c>
      <c r="H993" s="27">
        <f>'[3]Plan Tron'!F53</f>
        <v>20.7</v>
      </c>
      <c r="I993" s="11">
        <v>26.44</v>
      </c>
      <c r="J993" s="9">
        <f t="shared" ref="J993:J1000" si="115">ROUND(H993*(I993/100+1),2)</f>
        <v>26.17</v>
      </c>
      <c r="K993" s="383">
        <v>0</v>
      </c>
      <c r="L993" s="474">
        <f>F993-K993</f>
        <v>30</v>
      </c>
      <c r="M993" s="471">
        <f t="shared" si="114"/>
        <v>785.1</v>
      </c>
      <c r="N993" s="405"/>
      <c r="O993" s="541"/>
      <c r="P993" s="405"/>
      <c r="Q993" s="405"/>
      <c r="S993" s="344" t="str">
        <f t="shared" si="112"/>
        <v xml:space="preserve">ELETRODUTO DE FERRO GALVANIZADO, MÉDIO DE 3/4' - COM ACESSÓRIOS </v>
      </c>
    </row>
    <row r="994" spans="1:37" s="389" customFormat="1">
      <c r="A994" s="345" t="s">
        <v>198</v>
      </c>
      <c r="B994" s="49" t="str">
        <f>'[3]Plan Tron'!B54</f>
        <v xml:space="preserve">380406 </v>
      </c>
      <c r="C994" s="49" t="str">
        <f>'[3]Plan Tron'!C54</f>
        <v>CPOS</v>
      </c>
      <c r="D994" s="612" t="str">
        <f>'[3]Plan Tron'!D54</f>
        <v xml:space="preserve">ELETRODUTO DE FERRO GALVANIZADO, MÉDIO DE 1' - COM ACESSÓRIOS </v>
      </c>
      <c r="E994" s="49" t="str">
        <f>'[3]Plan Tron'!E54</f>
        <v>M</v>
      </c>
      <c r="F994" s="346">
        <v>30</v>
      </c>
      <c r="G994" s="11">
        <v>21.38</v>
      </c>
      <c r="H994" s="27">
        <f>'[3]Plan Tron'!F54</f>
        <v>24.56</v>
      </c>
      <c r="I994" s="11">
        <v>26.44</v>
      </c>
      <c r="J994" s="9">
        <f t="shared" si="115"/>
        <v>31.05</v>
      </c>
      <c r="K994" s="383">
        <v>0</v>
      </c>
      <c r="L994" s="474">
        <f>F994-K994</f>
        <v>30</v>
      </c>
      <c r="M994" s="471">
        <f t="shared" si="114"/>
        <v>931.5</v>
      </c>
      <c r="N994" s="405"/>
      <c r="O994" s="541"/>
      <c r="P994" s="405"/>
      <c r="Q994" s="405"/>
      <c r="S994" s="344" t="str">
        <f t="shared" si="112"/>
        <v xml:space="preserve">ELETRODUTO DE FERRO GALVANIZADO, MÉDIO DE 1' - COM ACESSÓRIOS </v>
      </c>
    </row>
    <row r="995" spans="1:37" s="344" customFormat="1">
      <c r="A995" s="49" t="s">
        <v>390</v>
      </c>
      <c r="B995" s="50">
        <f>'[3]Plan Tron'!B145</f>
        <v>83443</v>
      </c>
      <c r="C995" s="49" t="str">
        <f>'[3]Plan Tron'!C145</f>
        <v>SINAPI</v>
      </c>
      <c r="D995" s="130" t="str">
        <f>'[3]Plan Tron'!D145</f>
        <v xml:space="preserve"> CAIXA DE PASSAGEM 20X20X25 FUNDO BRITA COM TAMPA </v>
      </c>
      <c r="E995" s="77" t="str">
        <f>'[3]Plan Tron'!E145</f>
        <v>UN.</v>
      </c>
      <c r="F995" s="21">
        <v>1</v>
      </c>
      <c r="G995" s="9">
        <v>9.01</v>
      </c>
      <c r="H995" s="9">
        <f>'[3]Plan Tron'!F145</f>
        <v>44.23</v>
      </c>
      <c r="I995" s="9">
        <v>26.44</v>
      </c>
      <c r="J995" s="9">
        <f t="shared" si="115"/>
        <v>55.92</v>
      </c>
      <c r="K995" s="383">
        <v>0</v>
      </c>
      <c r="L995" s="474">
        <f>F995-K995</f>
        <v>1</v>
      </c>
      <c r="M995" s="471">
        <f t="shared" si="114"/>
        <v>55.92</v>
      </c>
      <c r="N995" s="405"/>
      <c r="O995" s="541"/>
      <c r="P995" s="405"/>
      <c r="Q995" s="405"/>
      <c r="S995" s="344" t="str">
        <f t="shared" si="112"/>
        <v xml:space="preserve"> CAIXA DE PASSAGEM 20X20X25 FUNDO BRITA COM TAMPA </v>
      </c>
    </row>
    <row r="996" spans="1:37" s="344" customFormat="1">
      <c r="A996" s="49" t="s">
        <v>387</v>
      </c>
      <c r="B996" s="50" t="s">
        <v>1048</v>
      </c>
      <c r="C996" s="49" t="s">
        <v>2015</v>
      </c>
      <c r="D996" s="130" t="s">
        <v>2231</v>
      </c>
      <c r="E996" s="7" t="s">
        <v>2337</v>
      </c>
      <c r="F996" s="21">
        <v>2</v>
      </c>
      <c r="G996" s="9">
        <v>8.98</v>
      </c>
      <c r="H996" s="9">
        <f t="shared" ref="H996:H997" si="116">G996*$P$7</f>
        <v>10.374594</v>
      </c>
      <c r="I996" s="9">
        <v>26.44</v>
      </c>
      <c r="J996" s="9">
        <f t="shared" si="115"/>
        <v>13.12</v>
      </c>
      <c r="K996" s="383">
        <v>0</v>
      </c>
      <c r="L996" s="474">
        <f>F996-K996</f>
        <v>2</v>
      </c>
      <c r="M996" s="471">
        <f t="shared" si="114"/>
        <v>26.24</v>
      </c>
      <c r="N996" s="405"/>
      <c r="O996" s="541"/>
      <c r="P996" s="405"/>
      <c r="Q996" s="405"/>
      <c r="S996" s="344" t="str">
        <f t="shared" si="112"/>
        <v xml:space="preserve">CAIXA DE LIGAÇÃO ("CONDULETE"), TIPO "C",  Ø 3/4", COM TAMPA CEGA. </v>
      </c>
    </row>
    <row r="997" spans="1:37" s="344" customFormat="1">
      <c r="A997" s="49" t="s">
        <v>384</v>
      </c>
      <c r="B997" s="50" t="s">
        <v>1198</v>
      </c>
      <c r="C997" s="49" t="s">
        <v>2015</v>
      </c>
      <c r="D997" s="130" t="s">
        <v>2232</v>
      </c>
      <c r="E997" s="7" t="s">
        <v>2337</v>
      </c>
      <c r="F997" s="21">
        <v>2</v>
      </c>
      <c r="G997" s="9">
        <v>12.97</v>
      </c>
      <c r="H997" s="9">
        <f t="shared" si="116"/>
        <v>14.984241000000001</v>
      </c>
      <c r="I997" s="9">
        <v>26.44</v>
      </c>
      <c r="J997" s="9">
        <f t="shared" si="115"/>
        <v>18.95</v>
      </c>
      <c r="K997" s="383">
        <v>0</v>
      </c>
      <c r="L997" s="474">
        <f>F997-K997</f>
        <v>2</v>
      </c>
      <c r="M997" s="471">
        <f t="shared" si="114"/>
        <v>37.9</v>
      </c>
      <c r="N997" s="405"/>
      <c r="O997" s="541"/>
      <c r="P997" s="405"/>
      <c r="Q997" s="405"/>
      <c r="S997" s="344" t="str">
        <f t="shared" si="112"/>
        <v xml:space="preserve">CAIXA DE LIGAÇÃO ("CONDULETE"), TIPO "C",  Ø 1", COM TAMPA CEGA. </v>
      </c>
    </row>
    <row r="998" spans="1:37" s="414" customFormat="1">
      <c r="A998" s="410" t="s">
        <v>17</v>
      </c>
      <c r="B998" s="428"/>
      <c r="C998" s="410"/>
      <c r="D998" s="429" t="s">
        <v>2215</v>
      </c>
      <c r="E998" s="421"/>
      <c r="F998" s="430"/>
      <c r="G998" s="412"/>
      <c r="H998" s="412"/>
      <c r="I998" s="412"/>
      <c r="J998" s="9"/>
      <c r="K998" s="498"/>
      <c r="L998" s="474"/>
      <c r="M998" s="471"/>
      <c r="N998" s="419"/>
      <c r="O998" s="541"/>
      <c r="P998" s="419"/>
      <c r="Q998" s="419"/>
      <c r="S998" s="414" t="str">
        <f t="shared" si="112"/>
        <v>ATERRAMENTO E SPDA</v>
      </c>
    </row>
    <row r="999" spans="1:37" s="389" customFormat="1">
      <c r="A999" s="345" t="s">
        <v>195</v>
      </c>
      <c r="B999" s="49">
        <f>'[3]Plan Tron'!B59</f>
        <v>72254</v>
      </c>
      <c r="C999" s="49" t="str">
        <f>'[3]Plan Tron'!C59</f>
        <v>SINAPI</v>
      </c>
      <c r="D999" s="612" t="str">
        <f>'[3]Plan Tron'!D59</f>
        <v>CABO DE COBRE NU, SEÇÃO 50 MM², ENCORDOAMENTO CLASSE 2.</v>
      </c>
      <c r="E999" s="49" t="str">
        <f>'[3]Plan Tron'!E59</f>
        <v>M</v>
      </c>
      <c r="F999" s="346">
        <v>20</v>
      </c>
      <c r="G999" s="11">
        <v>22.41</v>
      </c>
      <c r="H999" s="27">
        <f>'[3]Plan Tron'!F59</f>
        <v>31.11</v>
      </c>
      <c r="I999" s="11">
        <v>26.44</v>
      </c>
      <c r="J999" s="9">
        <f t="shared" si="115"/>
        <v>39.340000000000003</v>
      </c>
      <c r="K999" s="383">
        <v>0</v>
      </c>
      <c r="L999" s="474">
        <f>F999-K999</f>
        <v>20</v>
      </c>
      <c r="M999" s="471">
        <f t="shared" si="114"/>
        <v>786.8</v>
      </c>
      <c r="N999" s="405"/>
      <c r="O999" s="541"/>
      <c r="P999" s="405"/>
      <c r="Q999" s="405"/>
      <c r="S999" s="344" t="str">
        <f t="shared" si="112"/>
        <v>CABO DE COBRE NU, SEÇÃO 50 MM², ENCORDOAMENTO CLASSE 2.</v>
      </c>
    </row>
    <row r="1000" spans="1:37" s="389" customFormat="1">
      <c r="A1000" s="345" t="s">
        <v>192</v>
      </c>
      <c r="B1000" s="49">
        <f>'[3]Plan Tron'!B60</f>
        <v>83484</v>
      </c>
      <c r="C1000" s="49" t="str">
        <f>'[3]Plan Tron'!C60</f>
        <v>SINAPI</v>
      </c>
      <c r="D1000" s="612" t="str">
        <f>'[3]Plan Tron'!D60</f>
        <v>HASTE DE ATERRAMENTO DE AÇO COBREADO Ø3/4"X3,0M.</v>
      </c>
      <c r="E1000" s="49" t="str">
        <f>'[3]Plan Tron'!E60</f>
        <v>PÇ.</v>
      </c>
      <c r="F1000" s="343">
        <v>2</v>
      </c>
      <c r="G1000" s="11">
        <v>47.99</v>
      </c>
      <c r="H1000" s="27">
        <f>'[3]Plan Tron'!F60</f>
        <v>61.62</v>
      </c>
      <c r="I1000" s="11">
        <v>26.44</v>
      </c>
      <c r="J1000" s="9">
        <f t="shared" si="115"/>
        <v>77.91</v>
      </c>
      <c r="K1000" s="383">
        <v>0</v>
      </c>
      <c r="L1000" s="474">
        <f>F1000-K1000</f>
        <v>2</v>
      </c>
      <c r="M1000" s="471">
        <f t="shared" si="114"/>
        <v>155.82</v>
      </c>
      <c r="N1000" s="405"/>
      <c r="O1000" s="541"/>
      <c r="P1000" s="405"/>
      <c r="Q1000" s="405"/>
      <c r="S1000" s="344" t="str">
        <f t="shared" si="112"/>
        <v>HASTE DE ATERRAMENTO DE AÇO COBREADO Ø3/4"X3,0M.</v>
      </c>
    </row>
    <row r="1001" spans="1:37">
      <c r="A1001" s="49"/>
      <c r="B1001" s="57"/>
      <c r="C1001" s="49"/>
      <c r="D1001" s="65"/>
      <c r="E1001" s="18"/>
      <c r="F1001" s="36"/>
      <c r="G1001" s="316"/>
      <c r="H1001" s="20"/>
      <c r="I1001" s="20"/>
      <c r="J1001" s="20"/>
      <c r="K1001" s="65"/>
      <c r="L1001" s="474"/>
      <c r="M1001" s="472"/>
      <c r="N1001" s="405"/>
      <c r="O1001" s="541"/>
      <c r="P1001" s="405"/>
      <c r="Q1001" s="405"/>
    </row>
    <row r="1002" spans="1:37">
      <c r="A1002" s="49"/>
      <c r="B1002" s="57"/>
      <c r="C1002" s="49"/>
      <c r="D1002" s="65"/>
      <c r="E1002" s="18"/>
      <c r="F1002" s="36"/>
      <c r="G1002" s="316"/>
      <c r="H1002" s="20"/>
      <c r="I1002" s="20"/>
      <c r="J1002" s="20"/>
      <c r="K1002" s="65"/>
      <c r="L1002" s="474"/>
      <c r="M1002" s="472"/>
      <c r="N1002" s="405"/>
      <c r="O1002" s="541"/>
      <c r="P1002" s="405"/>
      <c r="Q1002" s="405"/>
    </row>
    <row r="1003" spans="1:37" s="299" customFormat="1">
      <c r="A1003" s="297"/>
      <c r="B1003" s="298"/>
      <c r="C1003" s="298"/>
      <c r="D1003" s="462" t="s">
        <v>2365</v>
      </c>
      <c r="E1003" s="297"/>
      <c r="F1003" s="298"/>
      <c r="G1003" s="301"/>
      <c r="H1003" s="338"/>
      <c r="I1003" s="298"/>
      <c r="J1003" s="298"/>
      <c r="K1003" s="462"/>
      <c r="L1003" s="474"/>
      <c r="M1003" s="505">
        <f>SUM(M990:M1001)</f>
        <v>7024.61</v>
      </c>
      <c r="N1003" s="405"/>
      <c r="O1003" s="541"/>
      <c r="P1003" s="405"/>
      <c r="Q1003" s="405"/>
      <c r="R1003" s="388"/>
      <c r="S1003" s="344" t="str">
        <f>UPPER(K1003)</f>
        <v/>
      </c>
      <c r="T1003" s="388"/>
      <c r="U1003" s="388"/>
      <c r="V1003" s="388"/>
      <c r="W1003" s="388"/>
      <c r="X1003" s="388"/>
      <c r="Y1003" s="388"/>
      <c r="Z1003" s="388"/>
      <c r="AA1003" s="388"/>
      <c r="AB1003" s="388"/>
      <c r="AC1003" s="388"/>
      <c r="AD1003" s="388"/>
      <c r="AE1003" s="388"/>
      <c r="AF1003" s="388"/>
      <c r="AG1003" s="388"/>
      <c r="AH1003" s="388"/>
      <c r="AI1003" s="388"/>
      <c r="AJ1003" s="388"/>
      <c r="AK1003" s="388"/>
    </row>
    <row r="1004" spans="1:37">
      <c r="A1004" s="296"/>
      <c r="B1004" s="44"/>
      <c r="C1004" s="44"/>
      <c r="D1004" s="443" t="s">
        <v>76</v>
      </c>
      <c r="E1004" s="296"/>
      <c r="F1004" s="44"/>
      <c r="G1004" s="302"/>
      <c r="H1004" s="339"/>
      <c r="I1004" s="44"/>
      <c r="J1004" s="44"/>
      <c r="K1004" s="383"/>
      <c r="L1004" s="474"/>
      <c r="M1004" s="471"/>
      <c r="N1004" s="405"/>
      <c r="O1004" s="541"/>
      <c r="P1004" s="405"/>
      <c r="Q1004" s="405"/>
      <c r="S1004" s="344" t="str">
        <f t="shared" ref="S1004:S1020" si="117">UPPER(D1004)</f>
        <v/>
      </c>
    </row>
    <row r="1005" spans="1:37" s="450" customFormat="1">
      <c r="A1005" s="445">
        <v>24</v>
      </c>
      <c r="B1005" s="446"/>
      <c r="C1005" s="447"/>
      <c r="D1005" s="448" t="s">
        <v>1969</v>
      </c>
      <c r="E1005" s="453" t="s">
        <v>76</v>
      </c>
      <c r="F1005" s="446"/>
      <c r="G1005" s="446"/>
      <c r="H1005" s="446"/>
      <c r="I1005" s="446"/>
      <c r="J1005" s="446"/>
      <c r="K1005" s="473"/>
      <c r="L1005" s="478"/>
      <c r="M1005" s="479"/>
      <c r="N1005" s="454"/>
      <c r="O1005" s="541"/>
      <c r="P1005" s="454"/>
      <c r="Q1005" s="454"/>
      <c r="S1005" s="450" t="str">
        <f t="shared" si="117"/>
        <v xml:space="preserve">RECUPERAÇÃO DAS DESCARGAS DA ETA </v>
      </c>
    </row>
    <row r="1006" spans="1:37" s="450" customFormat="1">
      <c r="A1006" s="445" t="s">
        <v>46</v>
      </c>
      <c r="B1006" s="446"/>
      <c r="C1006" s="447"/>
      <c r="D1006" s="448" t="s">
        <v>1970</v>
      </c>
      <c r="E1006" s="453" t="s">
        <v>76</v>
      </c>
      <c r="F1006" s="446"/>
      <c r="G1006" s="446"/>
      <c r="H1006" s="446"/>
      <c r="I1006" s="446"/>
      <c r="J1006" s="446"/>
      <c r="K1006" s="473"/>
      <c r="L1006" s="478"/>
      <c r="M1006" s="479"/>
      <c r="N1006" s="454"/>
      <c r="O1006" s="541"/>
      <c r="P1006" s="454"/>
      <c r="Q1006" s="454"/>
      <c r="S1006" s="450" t="str">
        <f t="shared" si="117"/>
        <v>POÇO DE MANOBRA DO TANQUE DE EQUALIZAÇÃO</v>
      </c>
    </row>
    <row r="1007" spans="1:37" s="450" customFormat="1">
      <c r="A1007" s="455">
        <v>1</v>
      </c>
      <c r="B1007" s="480"/>
      <c r="C1007" s="455"/>
      <c r="D1007" s="481" t="s">
        <v>2038</v>
      </c>
      <c r="E1007" s="482" t="s">
        <v>76</v>
      </c>
      <c r="F1007" s="483"/>
      <c r="G1007" s="460"/>
      <c r="H1007" s="460"/>
      <c r="I1007" s="460"/>
      <c r="J1007" s="460"/>
      <c r="K1007" s="473"/>
      <c r="L1007" s="478"/>
      <c r="M1007" s="479"/>
      <c r="N1007" s="454"/>
      <c r="O1007" s="541"/>
      <c r="P1007" s="454"/>
      <c r="Q1007" s="454"/>
      <c r="S1007" s="450" t="str">
        <f t="shared" si="117"/>
        <v>MOVIMENTO DE TERRA</v>
      </c>
    </row>
    <row r="1008" spans="1:37" s="414" customFormat="1">
      <c r="A1008" s="410" t="s">
        <v>20</v>
      </c>
      <c r="B1008" s="411"/>
      <c r="C1008" s="410"/>
      <c r="D1008" s="613" t="s">
        <v>2041</v>
      </c>
      <c r="E1008" s="424" t="s">
        <v>76</v>
      </c>
      <c r="F1008" s="422"/>
      <c r="G1008" s="413"/>
      <c r="H1008" s="413"/>
      <c r="I1008" s="413"/>
      <c r="J1008" s="413"/>
      <c r="K1008" s="498"/>
      <c r="L1008" s="474"/>
      <c r="M1008" s="471"/>
      <c r="N1008" s="419"/>
      <c r="O1008" s="541"/>
      <c r="P1008" s="419"/>
      <c r="Q1008" s="419"/>
      <c r="S1008" s="414" t="str">
        <f t="shared" si="117"/>
        <v>ESCAVAÇÃO DE VALAS</v>
      </c>
    </row>
    <row r="1009" spans="1:19" s="414" customFormat="1">
      <c r="A1009" s="410" t="s">
        <v>153</v>
      </c>
      <c r="B1009" s="411"/>
      <c r="C1009" s="410"/>
      <c r="D1009" s="613" t="s">
        <v>2233</v>
      </c>
      <c r="E1009" s="424" t="s">
        <v>76</v>
      </c>
      <c r="F1009" s="422"/>
      <c r="G1009" s="413"/>
      <c r="H1009" s="413"/>
      <c r="I1009" s="413"/>
      <c r="J1009" s="413"/>
      <c r="K1009" s="498"/>
      <c r="L1009" s="474"/>
      <c r="M1009" s="471"/>
      <c r="N1009" s="419"/>
      <c r="O1009" s="541"/>
      <c r="P1009" s="419"/>
      <c r="Q1009" s="419"/>
      <c r="S1009" s="414" t="str">
        <f t="shared" si="117"/>
        <v>ESCAVAÇÃO MANUAL DE VALAS</v>
      </c>
    </row>
    <row r="1010" spans="1:19" s="705" customFormat="1">
      <c r="A1010" s="49" t="s">
        <v>152</v>
      </c>
      <c r="B1010" s="49">
        <f>'[3]Plan Tron'!B7</f>
        <v>60202</v>
      </c>
      <c r="C1010" s="49" t="str">
        <f>'[3]Plan Tron'!C7</f>
        <v>CPOS</v>
      </c>
      <c r="D1010" s="703" t="str">
        <f>'[3]Plan Tron'!D7</f>
        <v xml:space="preserve">ESCAVAÇÃO MANUAL EM SOLO DE 1ª E 2ª CATEGORIA EM VALA OU CAVA ATÉ 1,50M </v>
      </c>
      <c r="E1010" s="77" t="str">
        <f>'[3]Plan Tron'!E7</f>
        <v>M³</v>
      </c>
      <c r="F1010" s="21">
        <v>21.27</v>
      </c>
      <c r="G1010" s="10">
        <v>34.450000000000003</v>
      </c>
      <c r="H1010" s="10">
        <f>'[3]Plan Tron'!F7</f>
        <v>34.020000000000003</v>
      </c>
      <c r="I1010" s="10">
        <v>26.44</v>
      </c>
      <c r="J1010" s="10">
        <f>ROUND(H1010*(I1010/100+1),2)</f>
        <v>43.01</v>
      </c>
      <c r="K1010" s="704">
        <v>3.1904999999999997</v>
      </c>
      <c r="L1010" s="474">
        <f>F1010-K1010</f>
        <v>18.079499999999999</v>
      </c>
      <c r="M1010" s="471">
        <f t="shared" ref="M1010:M1053" si="118">ROUND(L1010*J1010,2)</f>
        <v>777.6</v>
      </c>
      <c r="N1010" s="405"/>
      <c r="O1010" s="541"/>
      <c r="P1010" s="405"/>
      <c r="Q1010" s="405"/>
      <c r="S1010" s="705" t="str">
        <f t="shared" si="117"/>
        <v xml:space="preserve">ESCAVAÇÃO MANUAL EM SOLO DE 1ª E 2ª CATEGORIA EM VALA OU CAVA ATÉ 1,50M </v>
      </c>
    </row>
    <row r="1011" spans="1:19" s="344" customFormat="1">
      <c r="A1011" s="49" t="s">
        <v>320</v>
      </c>
      <c r="B1011" s="49">
        <f>'[3]Plan Tron'!B8</f>
        <v>60204</v>
      </c>
      <c r="C1011" s="49" t="str">
        <f>'[3]Plan Tron'!C8</f>
        <v>CPOS</v>
      </c>
      <c r="D1011" s="703" t="str">
        <f>'[3]Plan Tron'!D8</f>
        <v>ESCAVAÇÃO MANUAL EM SOLO DE 1ª E 2ª CATEGORIA EM VALA OU CAVA DE 1,5M A 3M</v>
      </c>
      <c r="E1011" s="77" t="str">
        <f>'[3]Plan Tron'!E8</f>
        <v>M³</v>
      </c>
      <c r="F1011" s="21">
        <v>15.27</v>
      </c>
      <c r="G1011" s="10">
        <v>44.29</v>
      </c>
      <c r="H1011" s="10">
        <f>'[3]Plan Tron'!F8</f>
        <v>44</v>
      </c>
      <c r="I1011" s="10">
        <v>26.44</v>
      </c>
      <c r="J1011" s="10">
        <f t="shared" ref="J1011:J1020" si="119">ROUND(H1011*(I1011/100+1),2)</f>
        <v>55.63</v>
      </c>
      <c r="K1011" s="383">
        <v>2.2904999999999998</v>
      </c>
      <c r="L1011" s="474">
        <f>F1011-K1011</f>
        <v>12.9795</v>
      </c>
      <c r="M1011" s="471">
        <f t="shared" si="118"/>
        <v>722.05</v>
      </c>
      <c r="N1011" s="405"/>
      <c r="O1011" s="541"/>
      <c r="P1011" s="405"/>
      <c r="Q1011" s="405"/>
      <c r="S1011" s="344" t="str">
        <f t="shared" si="117"/>
        <v>ESCAVAÇÃO MANUAL EM SOLO DE 1ª E 2ª CATEGORIA EM VALA OU CAVA DE 1,5M A 3M</v>
      </c>
    </row>
    <row r="1012" spans="1:19" s="344" customFormat="1">
      <c r="A1012" s="49" t="s">
        <v>1139</v>
      </c>
      <c r="B1012" s="49">
        <f>'[3]Plan Tron'!B9</f>
        <v>60204</v>
      </c>
      <c r="C1012" s="49" t="str">
        <f>'[3]Plan Tron'!C9</f>
        <v>CPOS</v>
      </c>
      <c r="D1012" s="703" t="str">
        <f>'[3]Plan Tron'!D9</f>
        <v>ESCAVAÇÃO MANUAL EM SOLO DE 1ª E 2ª CATEGORIA EM VALA OU CAVA DE 3M A 4,50M</v>
      </c>
      <c r="E1012" s="77" t="str">
        <f>'[3]Plan Tron'!E9</f>
        <v>M³</v>
      </c>
      <c r="F1012" s="21">
        <v>12.72</v>
      </c>
      <c r="G1012" s="10">
        <v>59.05</v>
      </c>
      <c r="H1012" s="10">
        <f>'[3]Plan Tron'!F9</f>
        <v>44</v>
      </c>
      <c r="I1012" s="10">
        <v>26.44</v>
      </c>
      <c r="J1012" s="10">
        <f t="shared" si="119"/>
        <v>55.63</v>
      </c>
      <c r="K1012" s="383">
        <v>0</v>
      </c>
      <c r="L1012" s="474">
        <f>F1012-K1012</f>
        <v>12.72</v>
      </c>
      <c r="M1012" s="471">
        <f t="shared" si="118"/>
        <v>707.61</v>
      </c>
      <c r="N1012" s="405"/>
      <c r="O1012" s="541"/>
      <c r="P1012" s="405"/>
      <c r="Q1012" s="405"/>
      <c r="S1012" s="344" t="str">
        <f t="shared" si="117"/>
        <v>ESCAVAÇÃO MANUAL EM SOLO DE 1ª E 2ª CATEGORIA EM VALA OU CAVA DE 3M A 4,50M</v>
      </c>
    </row>
    <row r="1013" spans="1:19" s="414" customFormat="1">
      <c r="A1013" s="410" t="s">
        <v>19</v>
      </c>
      <c r="B1013" s="411"/>
      <c r="C1013" s="410"/>
      <c r="D1013" s="613" t="s">
        <v>2111</v>
      </c>
      <c r="E1013" s="424"/>
      <c r="F1013" s="422"/>
      <c r="G1013" s="413"/>
      <c r="H1013" s="413"/>
      <c r="I1013" s="413"/>
      <c r="J1013" s="10"/>
      <c r="K1013" s="498"/>
      <c r="L1013" s="474"/>
      <c r="M1013" s="471"/>
      <c r="N1013" s="419"/>
      <c r="O1013" s="541"/>
      <c r="P1013" s="419"/>
      <c r="Q1013" s="419"/>
      <c r="S1013" s="414" t="str">
        <f t="shared" si="117"/>
        <v>ATERRO / REATERRO DE VALAS COM OU S/ COMPACTAÇÃO.</v>
      </c>
    </row>
    <row r="1014" spans="1:19" s="414" customFormat="1">
      <c r="A1014" s="410" t="s">
        <v>147</v>
      </c>
      <c r="B1014" s="411"/>
      <c r="C1014" s="410"/>
      <c r="D1014" s="613" t="s">
        <v>2045</v>
      </c>
      <c r="E1014" s="424"/>
      <c r="F1014" s="422"/>
      <c r="G1014" s="413"/>
      <c r="H1014" s="413"/>
      <c r="I1014" s="413"/>
      <c r="J1014" s="10"/>
      <c r="K1014" s="498"/>
      <c r="L1014" s="474"/>
      <c r="M1014" s="471"/>
      <c r="N1014" s="419"/>
      <c r="O1014" s="541"/>
      <c r="P1014" s="419"/>
      <c r="Q1014" s="419"/>
      <c r="S1014" s="414" t="str">
        <f t="shared" si="117"/>
        <v>REATERRO DE VALAS</v>
      </c>
    </row>
    <row r="1015" spans="1:19" s="344" customFormat="1" ht="25.5">
      <c r="A1015" s="49" t="s">
        <v>146</v>
      </c>
      <c r="B1015" s="49" t="str">
        <f>'[3]Plan Tron'!B64</f>
        <v xml:space="preserve">74005/002 </v>
      </c>
      <c r="C1015" s="49" t="str">
        <f>'[3]Plan Tron'!C64</f>
        <v>SINAPI</v>
      </c>
      <c r="D1015" s="26" t="str">
        <f>'[3]Plan Tron'!D64</f>
        <v>COMPACTACAO MECANICA C/ CONTROLE DO GC&gt;=95% DO PN (AREAS) (C/MONIVELADORA 140 HP E ROLO COMPRESSOR VIBRATORIO 80 HP)</v>
      </c>
      <c r="E1015" s="24" t="str">
        <f>'[3]Plan Tron'!E64</f>
        <v>M³</v>
      </c>
      <c r="F1015" s="21">
        <v>5.39</v>
      </c>
      <c r="G1015" s="10">
        <v>13.65</v>
      </c>
      <c r="H1015" s="10">
        <f>'[3]Plan Tron'!F64</f>
        <v>4.83</v>
      </c>
      <c r="I1015" s="10">
        <v>26.44</v>
      </c>
      <c r="J1015" s="10">
        <f t="shared" si="119"/>
        <v>6.11</v>
      </c>
      <c r="K1015" s="383">
        <v>0</v>
      </c>
      <c r="L1015" s="474">
        <f>F1015-K1015</f>
        <v>5.39</v>
      </c>
      <c r="M1015" s="471">
        <f t="shared" si="118"/>
        <v>32.93</v>
      </c>
      <c r="N1015" s="405"/>
      <c r="O1015" s="541"/>
      <c r="P1015" s="405"/>
      <c r="Q1015" s="405"/>
      <c r="S1015" s="344" t="str">
        <f t="shared" si="117"/>
        <v>COMPACTACAO MECANICA C/ CONTROLE DO GC&gt;=95% DO PN (AREAS) (C/MONIVELADORA 140 HP E ROLO COMPRESSOR VIBRATORIO 80 HP)</v>
      </c>
    </row>
    <row r="1016" spans="1:19" s="414" customFormat="1">
      <c r="A1016" s="410" t="s">
        <v>18</v>
      </c>
      <c r="B1016" s="411"/>
      <c r="C1016" s="410"/>
      <c r="D1016" s="613" t="s">
        <v>2100</v>
      </c>
      <c r="E1016" s="424"/>
      <c r="F1016" s="422"/>
      <c r="G1016" s="413"/>
      <c r="H1016" s="413"/>
      <c r="I1016" s="413"/>
      <c r="J1016" s="10"/>
      <c r="K1016" s="498"/>
      <c r="L1016" s="474"/>
      <c r="M1016" s="471"/>
      <c r="N1016" s="419"/>
      <c r="O1016" s="541"/>
      <c r="P1016" s="419"/>
      <c r="Q1016" s="419"/>
      <c r="S1016" s="414" t="str">
        <f t="shared" si="117"/>
        <v>COMPACTAÇÃO OU APILOAMENTO</v>
      </c>
    </row>
    <row r="1017" spans="1:19" s="344" customFormat="1" ht="25.5">
      <c r="A1017" s="49" t="s">
        <v>201</v>
      </c>
      <c r="B1017" s="49">
        <f>'[3]Plan Tron'!B89</f>
        <v>94098</v>
      </c>
      <c r="C1017" s="49" t="str">
        <f>'[3]Plan Tron'!C89</f>
        <v>SINAPI</v>
      </c>
      <c r="D1017" s="26" t="str">
        <f>'[3]Plan Tron'!D89</f>
        <v>PREPARO DE FUNDO DE VALA COM LARGURA MENOR QUE 1,5 M, EM LOCAL COM NÍVEL ALTO DE INTERFERÊNCIA. AF_06/2016</v>
      </c>
      <c r="E1017" s="77" t="str">
        <f>'[3]Plan Tron'!E89</f>
        <v>M²</v>
      </c>
      <c r="F1017" s="21">
        <v>10.18</v>
      </c>
      <c r="G1017" s="10">
        <v>3.24</v>
      </c>
      <c r="H1017" s="10">
        <f>'[3]Plan Tron'!F89</f>
        <v>5.53</v>
      </c>
      <c r="I1017" s="10">
        <v>26.44</v>
      </c>
      <c r="J1017" s="10">
        <f t="shared" si="119"/>
        <v>6.99</v>
      </c>
      <c r="K1017" s="383">
        <v>0</v>
      </c>
      <c r="L1017" s="474">
        <f>F1017-K1017</f>
        <v>10.18</v>
      </c>
      <c r="M1017" s="471">
        <f t="shared" si="118"/>
        <v>71.16</v>
      </c>
      <c r="N1017" s="405"/>
      <c r="O1017" s="541"/>
      <c r="P1017" s="405"/>
      <c r="Q1017" s="405"/>
      <c r="S1017" s="344" t="str">
        <f t="shared" si="117"/>
        <v>PREPARO DE FUNDO DE VALA COM LARGURA MENOR QUE 1,5 M, EM LOCAL COM NÍVEL ALTO DE INTERFERÊNCIA. AF_06/2016</v>
      </c>
    </row>
    <row r="1018" spans="1:19" s="414" customFormat="1">
      <c r="A1018" s="410" t="s">
        <v>17</v>
      </c>
      <c r="B1018" s="425"/>
      <c r="C1018" s="410"/>
      <c r="D1018" s="706" t="s">
        <v>2046</v>
      </c>
      <c r="E1018" s="640"/>
      <c r="F1018" s="430"/>
      <c r="G1018" s="659"/>
      <c r="H1018" s="659"/>
      <c r="I1018" s="413"/>
      <c r="J1018" s="10"/>
      <c r="K1018" s="498"/>
      <c r="L1018" s="474"/>
      <c r="M1018" s="471"/>
      <c r="N1018" s="419"/>
      <c r="O1018" s="541"/>
      <c r="P1018" s="419"/>
      <c r="Q1018" s="419"/>
      <c r="S1018" s="414" t="str">
        <f t="shared" si="117"/>
        <v>CARGA, DESCARGA E/OU TRANSPORTE DE MATERIAIS</v>
      </c>
    </row>
    <row r="1019" spans="1:19" s="344" customFormat="1">
      <c r="A1019" s="49" t="s">
        <v>195</v>
      </c>
      <c r="B1019" s="49">
        <f>'[3]Plan Tron'!B13</f>
        <v>72885</v>
      </c>
      <c r="C1019" s="49" t="str">
        <f>'[3]Plan Tron'!C13</f>
        <v>SINAPI</v>
      </c>
      <c r="D1019" s="707" t="str">
        <f>'[3]Plan Tron'!D13</f>
        <v>TRANSPORTE COMERCIAL COM CAMINHAO BASCULANTE 6 M3, RODOVIA EM LEITO NATURAL</v>
      </c>
      <c r="E1019" s="672" t="str">
        <f>'[3]Plan Tron'!E13</f>
        <v>M³ X KM</v>
      </c>
      <c r="F1019" s="51">
        <v>219.39</v>
      </c>
      <c r="G1019" s="20">
        <v>1.03</v>
      </c>
      <c r="H1019" s="20">
        <f>'[3]Plan Tron'!F13</f>
        <v>1.37</v>
      </c>
      <c r="I1019" s="10">
        <v>26.44</v>
      </c>
      <c r="J1019" s="10">
        <f t="shared" si="119"/>
        <v>1.73</v>
      </c>
      <c r="K1019" s="383">
        <v>0</v>
      </c>
      <c r="L1019" s="474">
        <f>F1019-K1019</f>
        <v>219.39</v>
      </c>
      <c r="M1019" s="471">
        <f t="shared" si="118"/>
        <v>379.54</v>
      </c>
      <c r="N1019" s="405"/>
      <c r="O1019" s="541"/>
      <c r="P1019" s="405"/>
      <c r="Q1019" s="405"/>
      <c r="S1019" s="344" t="str">
        <f t="shared" si="117"/>
        <v>TRANSPORTE COMERCIAL COM CAMINHAO BASCULANTE 6 M3, RODOVIA EM LEITO NATURAL</v>
      </c>
    </row>
    <row r="1020" spans="1:19" s="344" customFormat="1" ht="25.5">
      <c r="A1020" s="49" t="s">
        <v>192</v>
      </c>
      <c r="B1020" s="49">
        <f>'[3]Plan Tron'!B14</f>
        <v>72888</v>
      </c>
      <c r="C1020" s="49" t="str">
        <f>'[3]Plan Tron'!C14</f>
        <v>SINAPI</v>
      </c>
      <c r="D1020" s="39" t="str">
        <f>'[3]Plan Tron'!D14</f>
        <v>CARGA, MANOBRAS E DESCARGA DE AREIA, BRITA, PEDRA DE MAO E SOLOS COM CAMINHAO BASCULANTE 6 M3 (DESCARGA LIVRE)</v>
      </c>
      <c r="E1020" s="672" t="str">
        <f>'[3]Plan Tron'!E14</f>
        <v>M³</v>
      </c>
      <c r="F1020" s="51">
        <v>43.88</v>
      </c>
      <c r="G1020" s="20">
        <v>0.81</v>
      </c>
      <c r="H1020" s="20">
        <f>'[3]Plan Tron'!F14</f>
        <v>0.96</v>
      </c>
      <c r="I1020" s="10">
        <v>26.44</v>
      </c>
      <c r="J1020" s="10">
        <f t="shared" si="119"/>
        <v>1.21</v>
      </c>
      <c r="K1020" s="383">
        <v>0</v>
      </c>
      <c r="L1020" s="474">
        <f>F1020-K1020</f>
        <v>43.88</v>
      </c>
      <c r="M1020" s="471">
        <f t="shared" si="118"/>
        <v>53.09</v>
      </c>
      <c r="N1020" s="405"/>
      <c r="O1020" s="541"/>
      <c r="P1020" s="405"/>
      <c r="Q1020" s="405"/>
      <c r="S1020" s="344" t="str">
        <f t="shared" si="117"/>
        <v>CARGA, MANOBRAS E DESCARGA DE AREIA, BRITA, PEDRA DE MAO E SOLOS COM CAMINHAO BASCULANTE 6 M3 (DESCARGA LIVRE)</v>
      </c>
    </row>
    <row r="1021" spans="1:19" s="344" customFormat="1">
      <c r="A1021" s="49"/>
      <c r="B1021" s="17"/>
      <c r="C1021" s="49"/>
      <c r="D1021" s="451"/>
      <c r="E1021" s="7"/>
      <c r="F1021" s="10"/>
      <c r="G1021" s="21"/>
      <c r="H1021" s="21"/>
      <c r="I1021" s="10"/>
      <c r="J1021" s="10"/>
      <c r="K1021" s="451"/>
      <c r="L1021" s="474"/>
      <c r="M1021" s="471"/>
      <c r="N1021" s="405"/>
      <c r="O1021" s="541"/>
      <c r="P1021" s="405"/>
      <c r="Q1021" s="405"/>
    </row>
    <row r="1022" spans="1:19" s="344" customFormat="1">
      <c r="A1022" s="49"/>
      <c r="B1022" s="17"/>
      <c r="C1022" s="49"/>
      <c r="D1022" s="52" t="s">
        <v>76</v>
      </c>
      <c r="E1022" s="7"/>
      <c r="F1022" s="10"/>
      <c r="G1022" s="21"/>
      <c r="H1022" s="21"/>
      <c r="I1022" s="10"/>
      <c r="J1022" s="10"/>
      <c r="K1022" s="383"/>
      <c r="L1022" s="474"/>
      <c r="M1022" s="471"/>
      <c r="N1022" s="405"/>
      <c r="O1022" s="541"/>
      <c r="P1022" s="405"/>
      <c r="Q1022" s="405"/>
      <c r="S1022" s="344" t="str">
        <f t="shared" ref="S1022:S1042" si="120">UPPER(D1022)</f>
        <v/>
      </c>
    </row>
    <row r="1023" spans="1:19" s="344" customFormat="1">
      <c r="A1023" s="45">
        <v>2</v>
      </c>
      <c r="B1023" s="23"/>
      <c r="C1023" s="45"/>
      <c r="D1023" s="397" t="s">
        <v>2054</v>
      </c>
      <c r="E1023" s="24"/>
      <c r="F1023" s="21"/>
      <c r="G1023" s="10"/>
      <c r="H1023" s="10"/>
      <c r="I1023" s="10"/>
      <c r="J1023" s="10"/>
      <c r="K1023" s="383"/>
      <c r="L1023" s="474"/>
      <c r="M1023" s="471"/>
      <c r="N1023" s="405"/>
      <c r="O1023" s="541"/>
      <c r="P1023" s="405"/>
      <c r="Q1023" s="405"/>
      <c r="S1023" s="344" t="str">
        <f t="shared" si="120"/>
        <v>FUNDAÇÕES E ESTRUTURAS</v>
      </c>
    </row>
    <row r="1024" spans="1:19" s="414" customFormat="1">
      <c r="A1024" s="410" t="s">
        <v>9</v>
      </c>
      <c r="B1024" s="673"/>
      <c r="C1024" s="410"/>
      <c r="D1024" s="693" t="s">
        <v>2055</v>
      </c>
      <c r="E1024" s="424"/>
      <c r="F1024" s="422"/>
      <c r="G1024" s="413"/>
      <c r="H1024" s="413"/>
      <c r="I1024" s="413"/>
      <c r="J1024" s="413"/>
      <c r="K1024" s="498"/>
      <c r="L1024" s="474"/>
      <c r="M1024" s="471"/>
      <c r="N1024" s="419"/>
      <c r="O1024" s="541"/>
      <c r="P1024" s="419"/>
      <c r="Q1024" s="419"/>
      <c r="S1024" s="414" t="str">
        <f t="shared" si="120"/>
        <v>LASTROS / FUNDAÇÕES DIRETAS</v>
      </c>
    </row>
    <row r="1025" spans="1:19" s="414" customFormat="1">
      <c r="A1025" s="410" t="s">
        <v>348</v>
      </c>
      <c r="B1025" s="673"/>
      <c r="C1025" s="410"/>
      <c r="D1025" s="693" t="s">
        <v>2056</v>
      </c>
      <c r="E1025" s="424"/>
      <c r="F1025" s="422"/>
      <c r="G1025" s="413"/>
      <c r="H1025" s="413"/>
      <c r="I1025" s="413"/>
      <c r="J1025" s="413"/>
      <c r="K1025" s="498"/>
      <c r="L1025" s="474"/>
      <c r="M1025" s="471"/>
      <c r="N1025" s="419"/>
      <c r="O1025" s="541"/>
      <c r="P1025" s="419"/>
      <c r="Q1025" s="419"/>
      <c r="S1025" s="414" t="str">
        <f t="shared" si="120"/>
        <v>LASTRO DE PEDRA BRITADA E FUNDAÇÕES EM BALDRAME.</v>
      </c>
    </row>
    <row r="1026" spans="1:19" s="344" customFormat="1">
      <c r="A1026" s="49" t="s">
        <v>417</v>
      </c>
      <c r="B1026" s="49">
        <f>'[3]Plan Tron'!B18</f>
        <v>6514</v>
      </c>
      <c r="C1026" s="49" t="str">
        <f>'[3]Plan Tron'!C18</f>
        <v>SINAPI</v>
      </c>
      <c r="D1026" s="142" t="str">
        <f>'[3]Plan Tron'!D18</f>
        <v xml:space="preserve">FORNECIMENTO E LANCAMENTO DE BRITA N. 4 </v>
      </c>
      <c r="E1026" s="77" t="str">
        <f>'[3]Plan Tron'!E18</f>
        <v>M³</v>
      </c>
      <c r="F1026" s="21">
        <v>1.02</v>
      </c>
      <c r="G1026" s="10">
        <f>G78</f>
        <v>74.28</v>
      </c>
      <c r="H1026" s="10">
        <f>'[3]Plan Tron'!F18</f>
        <v>88.38</v>
      </c>
      <c r="I1026" s="10">
        <v>26.44</v>
      </c>
      <c r="J1026" s="10">
        <f>ROUND(H1026*(I1026/100+1),2)</f>
        <v>111.75</v>
      </c>
      <c r="K1026" s="383">
        <v>0.30599999999999999</v>
      </c>
      <c r="L1026" s="474">
        <f>F1026-K1026</f>
        <v>0.71399999999999997</v>
      </c>
      <c r="M1026" s="471">
        <f t="shared" si="118"/>
        <v>79.790000000000006</v>
      </c>
      <c r="N1026" s="405"/>
      <c r="O1026" s="541"/>
      <c r="P1026" s="405"/>
      <c r="Q1026" s="405"/>
      <c r="S1026" s="344" t="str">
        <f t="shared" si="120"/>
        <v xml:space="preserve">FORNECIMENTO E LANCAMENTO DE BRITA N. 4 </v>
      </c>
    </row>
    <row r="1027" spans="1:19" s="414" customFormat="1">
      <c r="A1027" s="410" t="s">
        <v>8</v>
      </c>
      <c r="B1027" s="646"/>
      <c r="C1027" s="410"/>
      <c r="D1027" s="694" t="s">
        <v>2058</v>
      </c>
      <c r="E1027" s="648"/>
      <c r="F1027" s="674"/>
      <c r="G1027" s="413"/>
      <c r="H1027" s="413"/>
      <c r="I1027" s="413"/>
      <c r="J1027" s="10"/>
      <c r="K1027" s="498"/>
      <c r="L1027" s="474"/>
      <c r="M1027" s="471"/>
      <c r="N1027" s="419"/>
      <c r="O1027" s="541"/>
      <c r="P1027" s="419"/>
      <c r="Q1027" s="419"/>
      <c r="S1027" s="414" t="str">
        <f t="shared" si="120"/>
        <v>FORMAS / CIMBRAMENTOS / ESCORAMENTOS</v>
      </c>
    </row>
    <row r="1028" spans="1:19" s="414" customFormat="1">
      <c r="A1028" s="410" t="s">
        <v>317</v>
      </c>
      <c r="B1028" s="646"/>
      <c r="C1028" s="410"/>
      <c r="D1028" s="693" t="s">
        <v>2234</v>
      </c>
      <c r="E1028" s="676"/>
      <c r="F1028" s="422"/>
      <c r="G1028" s="413"/>
      <c r="H1028" s="413"/>
      <c r="I1028" s="413"/>
      <c r="J1028" s="10"/>
      <c r="K1028" s="498"/>
      <c r="L1028" s="474"/>
      <c r="M1028" s="471"/>
      <c r="N1028" s="419"/>
      <c r="O1028" s="541"/>
      <c r="P1028" s="419"/>
      <c r="Q1028" s="419"/>
      <c r="S1028" s="414" t="str">
        <f t="shared" si="120"/>
        <v>FORMA PARA VIGA, PILAR E PAREDE</v>
      </c>
    </row>
    <row r="1029" spans="1:19" s="344" customFormat="1">
      <c r="A1029" s="49" t="s">
        <v>318</v>
      </c>
      <c r="B1029" s="49">
        <f>'[3]Plan Tron'!B20</f>
        <v>5651</v>
      </c>
      <c r="C1029" s="49" t="str">
        <f>'[3]Plan Tron'!C20</f>
        <v>SINAPI</v>
      </c>
      <c r="D1029" s="612" t="str">
        <f>'[3]Plan Tron'!D20</f>
        <v>FORMA DE MADEIRA COMUM PARA FUNDAÇÕES - REAPROVEITAMENTO 5X.</v>
      </c>
      <c r="E1029" s="49" t="str">
        <f>'[3]Plan Tron'!E20</f>
        <v>M²</v>
      </c>
      <c r="F1029" s="21">
        <v>1.1499999999999999</v>
      </c>
      <c r="G1029" s="10">
        <v>22.96</v>
      </c>
      <c r="H1029" s="10">
        <f>'[3]Plan Tron'!F20</f>
        <v>29.01</v>
      </c>
      <c r="I1029" s="10">
        <v>26.44</v>
      </c>
      <c r="J1029" s="10">
        <f t="shared" ref="J1029:J1042" si="121">ROUND(H1029*(I1029/100+1),2)</f>
        <v>36.68</v>
      </c>
      <c r="K1029" s="383">
        <v>0.34499999999999997</v>
      </c>
      <c r="L1029" s="474">
        <f>F1029-K1029</f>
        <v>0.80499999999999994</v>
      </c>
      <c r="M1029" s="471">
        <f t="shared" si="118"/>
        <v>29.53</v>
      </c>
      <c r="N1029" s="405"/>
      <c r="O1029" s="541"/>
      <c r="P1029" s="405"/>
      <c r="Q1029" s="405"/>
      <c r="S1029" s="344" t="str">
        <f t="shared" si="120"/>
        <v>FORMA DE MADEIRA COMUM PARA FUNDAÇÕES - REAPROVEITAMENTO 5X.</v>
      </c>
    </row>
    <row r="1030" spans="1:19" s="344" customFormat="1">
      <c r="A1030" s="49" t="s">
        <v>807</v>
      </c>
      <c r="B1030" s="49" t="str">
        <f>'[3]Plan Tron'!B65</f>
        <v xml:space="preserve">090206 </v>
      </c>
      <c r="C1030" s="49" t="str">
        <f>'[3]Plan Tron'!C65</f>
        <v>CPOS</v>
      </c>
      <c r="D1030" s="612" t="str">
        <f>'[3]Plan Tron'!D65</f>
        <v xml:space="preserve">FORMA CURVA EM COMPENSADO PARA ESTRUTURA APARENTE </v>
      </c>
      <c r="E1030" s="49" t="str">
        <f>'[3]Plan Tron'!E65</f>
        <v>M²</v>
      </c>
      <c r="F1030" s="21">
        <v>18.43</v>
      </c>
      <c r="G1030" s="10">
        <v>84.77</v>
      </c>
      <c r="H1030" s="10">
        <f>'[3]Plan Tron'!F65</f>
        <v>107.03</v>
      </c>
      <c r="I1030" s="10">
        <v>26.44</v>
      </c>
      <c r="J1030" s="10">
        <f t="shared" si="121"/>
        <v>135.33000000000001</v>
      </c>
      <c r="K1030" s="383">
        <v>5.5289999999999999</v>
      </c>
      <c r="L1030" s="474">
        <f>F1030-K1030</f>
        <v>12.901</v>
      </c>
      <c r="M1030" s="471">
        <f t="shared" si="118"/>
        <v>1745.89</v>
      </c>
      <c r="N1030" s="405"/>
      <c r="O1030" s="541"/>
      <c r="P1030" s="405"/>
      <c r="Q1030" s="405"/>
      <c r="S1030" s="344" t="str">
        <f t="shared" si="120"/>
        <v xml:space="preserve">FORMA CURVA EM COMPENSADO PARA ESTRUTURA APARENTE </v>
      </c>
    </row>
    <row r="1031" spans="1:19" s="414" customFormat="1">
      <c r="A1031" s="410" t="s">
        <v>7</v>
      </c>
      <c r="B1031" s="673"/>
      <c r="C1031" s="410"/>
      <c r="D1031" s="693" t="s">
        <v>2059</v>
      </c>
      <c r="E1031" s="638"/>
      <c r="F1031" s="677"/>
      <c r="G1031" s="413"/>
      <c r="H1031" s="413"/>
      <c r="I1031" s="413"/>
      <c r="J1031" s="10"/>
      <c r="K1031" s="498"/>
      <c r="L1031" s="474"/>
      <c r="M1031" s="471"/>
      <c r="N1031" s="419"/>
      <c r="O1031" s="541"/>
      <c r="P1031" s="419"/>
      <c r="Q1031" s="419"/>
      <c r="S1031" s="414" t="str">
        <f t="shared" si="120"/>
        <v>ARMADURAS</v>
      </c>
    </row>
    <row r="1032" spans="1:19" s="414" customFormat="1">
      <c r="A1032" s="410" t="s">
        <v>314</v>
      </c>
      <c r="B1032" s="673"/>
      <c r="C1032" s="410"/>
      <c r="D1032" s="693" t="s">
        <v>2235</v>
      </c>
      <c r="E1032" s="638"/>
      <c r="F1032" s="677"/>
      <c r="G1032" s="413"/>
      <c r="H1032" s="413"/>
      <c r="I1032" s="413"/>
      <c r="J1032" s="10"/>
      <c r="K1032" s="498"/>
      <c r="L1032" s="474"/>
      <c r="M1032" s="471"/>
      <c r="N1032" s="419"/>
      <c r="O1032" s="541"/>
      <c r="P1032" s="419"/>
      <c r="Q1032" s="419"/>
      <c r="S1032" s="414" t="str">
        <f t="shared" si="120"/>
        <v>ARMAÇÃO EM AÇO CA-60 PARA ESTRUTURAS DE CONCRETO.</v>
      </c>
    </row>
    <row r="1033" spans="1:19" s="344" customFormat="1" ht="25.5">
      <c r="A1033" s="49" t="s">
        <v>313</v>
      </c>
      <c r="B1033" s="49">
        <f>'[3]Plan Tron'!B21</f>
        <v>92761</v>
      </c>
      <c r="C1033" s="49" t="str">
        <f>'[3]Plan Tron'!C21</f>
        <v>SINAPI</v>
      </c>
      <c r="D1033" s="142" t="str">
        <f>'[3]Plan Tron'!D21</f>
        <v>ARMAÇÃO DE PILAR OU VIGA DE UMA ESTRUTURA CONVENCIONAL DE CONCRETO ARMADO EM UM EDIFÍCIO DE MÚLTIPLOS PAVIMENTOS UTILIZANDO AÇO CA-50 DE 8.0MM - MONTAGEM. AF_12/2015</v>
      </c>
      <c r="E1033" s="678" t="str">
        <f>'[3]Plan Tron'!E21</f>
        <v>KG</v>
      </c>
      <c r="F1033" s="120">
        <v>868</v>
      </c>
      <c r="G1033" s="10">
        <v>6.16</v>
      </c>
      <c r="H1033" s="10">
        <f>'[3]Plan Tron'!F21</f>
        <v>9.44</v>
      </c>
      <c r="I1033" s="10">
        <v>26.44</v>
      </c>
      <c r="J1033" s="10">
        <f t="shared" si="121"/>
        <v>11.94</v>
      </c>
      <c r="K1033" s="383">
        <v>217</v>
      </c>
      <c r="L1033" s="474">
        <f>F1033-K1033</f>
        <v>651</v>
      </c>
      <c r="M1033" s="471">
        <f t="shared" si="118"/>
        <v>7772.94</v>
      </c>
      <c r="N1033" s="405"/>
      <c r="O1033" s="541"/>
      <c r="P1033" s="405"/>
      <c r="Q1033" s="405"/>
      <c r="S1033" s="344" t="str">
        <f t="shared" si="120"/>
        <v>ARMAÇÃO DE PILAR OU VIGA DE UMA ESTRUTURA CONVENCIONAL DE CONCRETO ARMADO EM UM EDIFÍCIO DE MÚLTIPLOS PAVIMENTOS UTILIZANDO AÇO CA-50 DE 8.0MM - MONTAGEM. AF_12/2015</v>
      </c>
    </row>
    <row r="1034" spans="1:19" s="414" customFormat="1">
      <c r="A1034" s="410" t="s">
        <v>347</v>
      </c>
      <c r="B1034" s="673"/>
      <c r="C1034" s="410"/>
      <c r="D1034" s="693" t="s">
        <v>2060</v>
      </c>
      <c r="E1034" s="638"/>
      <c r="F1034" s="679"/>
      <c r="G1034" s="413"/>
      <c r="H1034" s="413"/>
      <c r="I1034" s="413"/>
      <c r="J1034" s="10"/>
      <c r="K1034" s="498"/>
      <c r="L1034" s="474"/>
      <c r="M1034" s="471"/>
      <c r="N1034" s="419"/>
      <c r="O1034" s="541"/>
      <c r="P1034" s="419"/>
      <c r="Q1034" s="419"/>
      <c r="S1034" s="414" t="str">
        <f t="shared" si="120"/>
        <v>ARMAÇÃO EM AÇO CA-50 PARA ESTRUTURAS DE CONCRETO.</v>
      </c>
    </row>
    <row r="1035" spans="1:19" s="344" customFormat="1" ht="25.5">
      <c r="A1035" s="49" t="s">
        <v>1273</v>
      </c>
      <c r="B1035" s="49">
        <f>'[3]Plan Tron'!B91</f>
        <v>92765</v>
      </c>
      <c r="C1035" s="49" t="str">
        <f>'[3]Plan Tron'!C91</f>
        <v>SINAPI</v>
      </c>
      <c r="D1035" s="142" t="str">
        <f>'[3]Plan Tron'!D91</f>
        <v>ARMAÇÃO DE PILAR OU VIGA DE UMA ESTRUTURA CONVENCIONAL DE CONCRETO ARMADO EM UM EDIFÍCIO DE MÚLTIPLOS PAVIMENTOS UTILIZANDO AÇO CA-50 DE 20.0 MM - MONTAGEM. AF_12/2015</v>
      </c>
      <c r="E1035" s="678" t="str">
        <f>'[3]Plan Tron'!E91</f>
        <v>KG</v>
      </c>
      <c r="F1035" s="21">
        <v>584</v>
      </c>
      <c r="G1035" s="10">
        <v>6.66</v>
      </c>
      <c r="H1035" s="10">
        <f>'[3]Plan Tron'!F91</f>
        <v>4.32</v>
      </c>
      <c r="I1035" s="10">
        <v>26.44</v>
      </c>
      <c r="J1035" s="10">
        <f t="shared" si="121"/>
        <v>5.46</v>
      </c>
      <c r="K1035" s="383">
        <v>146</v>
      </c>
      <c r="L1035" s="474">
        <f>F1035-K1035</f>
        <v>438</v>
      </c>
      <c r="M1035" s="471">
        <f t="shared" si="118"/>
        <v>2391.48</v>
      </c>
      <c r="N1035" s="405"/>
      <c r="O1035" s="541"/>
      <c r="P1035" s="405"/>
      <c r="Q1035" s="405"/>
      <c r="S1035" s="344" t="str">
        <f t="shared" si="120"/>
        <v>ARMAÇÃO DE PILAR OU VIGA DE UMA ESTRUTURA CONVENCIONAL DE CONCRETO ARMADO EM UM EDIFÍCIO DE MÚLTIPLOS PAVIMENTOS UTILIZANDO AÇO CA-50 DE 20.0 MM - MONTAGEM. AF_12/2015</v>
      </c>
    </row>
    <row r="1036" spans="1:19" s="344" customFormat="1" ht="25.5">
      <c r="A1036" s="49" t="s">
        <v>1272</v>
      </c>
      <c r="B1036" s="49">
        <f>'[3]Plan Tron'!B90</f>
        <v>92763</v>
      </c>
      <c r="C1036" s="49" t="str">
        <f>'[3]Plan Tron'!C90</f>
        <v>SINAPI</v>
      </c>
      <c r="D1036" s="614" t="str">
        <f>'[3]Plan Tron'!D90</f>
        <v>ARMAÇÃO DE PILAR OU VIGA DE UMA ESTRUTURA CONVENCIONAL DE CONCRETO ARMADO EM UM EDIFÍCIO DE MÚLTIPLOS PAVIMENTOS UTILIZANDO AÇO CA-50 DE 12.5 MM - MONTAGEM. AF_12/2015</v>
      </c>
      <c r="E1036" s="49" t="str">
        <f>'[3]Plan Tron'!E90</f>
        <v>KG</v>
      </c>
      <c r="F1036" s="21">
        <v>159</v>
      </c>
      <c r="G1036" s="10">
        <f>G85</f>
        <v>5.9</v>
      </c>
      <c r="H1036" s="10">
        <f>'[3]Plan Tron'!F90</f>
        <v>6.29</v>
      </c>
      <c r="I1036" s="10">
        <v>26.44</v>
      </c>
      <c r="J1036" s="10">
        <f t="shared" si="121"/>
        <v>7.95</v>
      </c>
      <c r="K1036" s="383">
        <v>39.75</v>
      </c>
      <c r="L1036" s="474">
        <f>F1036-K1036</f>
        <v>119.25</v>
      </c>
      <c r="M1036" s="471">
        <f t="shared" si="118"/>
        <v>948.04</v>
      </c>
      <c r="N1036" s="405"/>
      <c r="O1036" s="541"/>
      <c r="P1036" s="405"/>
      <c r="Q1036" s="405"/>
      <c r="S1036" s="344" t="str">
        <f t="shared" si="120"/>
        <v>ARMAÇÃO DE PILAR OU VIGA DE UMA ESTRUTURA CONVENCIONAL DE CONCRETO ARMADO EM UM EDIFÍCIO DE MÚLTIPLOS PAVIMENTOS UTILIZANDO AÇO CA-50 DE 12.5 MM - MONTAGEM. AF_12/2015</v>
      </c>
    </row>
    <row r="1037" spans="1:19" s="414" customFormat="1">
      <c r="A1037" s="410" t="s">
        <v>6</v>
      </c>
      <c r="B1037" s="646"/>
      <c r="C1037" s="410"/>
      <c r="D1037" s="694" t="s">
        <v>2061</v>
      </c>
      <c r="E1037" s="648"/>
      <c r="F1037" s="674"/>
      <c r="G1037" s="413"/>
      <c r="H1037" s="413"/>
      <c r="I1037" s="413"/>
      <c r="J1037" s="10"/>
      <c r="K1037" s="498"/>
      <c r="L1037" s="474"/>
      <c r="M1037" s="471"/>
      <c r="N1037" s="419"/>
      <c r="O1037" s="541"/>
      <c r="P1037" s="419"/>
      <c r="Q1037" s="419"/>
      <c r="S1037" s="414" t="str">
        <f t="shared" si="120"/>
        <v>CONCRETOS</v>
      </c>
    </row>
    <row r="1038" spans="1:19" s="344" customFormat="1">
      <c r="A1038" s="144" t="s">
        <v>311</v>
      </c>
      <c r="B1038" s="49">
        <f>'[3]Plan Tron'!B23</f>
        <v>110404</v>
      </c>
      <c r="C1038" s="49" t="str">
        <f>'[3]Plan Tron'!C23</f>
        <v>CPOS</v>
      </c>
      <c r="D1038" s="708" t="str">
        <f>UPPER('[3]Plan Tron'!D23)</f>
        <v>CONCRETO NÃO ESTRUTURAL EXECUTADO NO LOCAL, MÍNIMO 200 KG CIMENTO / M³</v>
      </c>
      <c r="E1038" s="681" t="str">
        <f>'[3]Plan Tron'!E23</f>
        <v>M³</v>
      </c>
      <c r="F1038" s="145">
        <v>2.86</v>
      </c>
      <c r="G1038" s="145">
        <v>238.25</v>
      </c>
      <c r="H1038" s="145">
        <f>'[3]Plan Tron'!F23</f>
        <v>231.91</v>
      </c>
      <c r="I1038" s="10">
        <v>26.44</v>
      </c>
      <c r="J1038" s="10">
        <f t="shared" si="121"/>
        <v>293.23</v>
      </c>
      <c r="K1038" s="383">
        <v>0.71499999999999997</v>
      </c>
      <c r="L1038" s="474">
        <f>F1038-K1038</f>
        <v>2.145</v>
      </c>
      <c r="M1038" s="471">
        <f t="shared" si="118"/>
        <v>628.98</v>
      </c>
      <c r="N1038" s="405"/>
      <c r="O1038" s="541"/>
      <c r="P1038" s="405"/>
      <c r="Q1038" s="405"/>
      <c r="S1038" s="344" t="str">
        <f t="shared" si="120"/>
        <v>CONCRETO NÃO ESTRUTURAL EXECUTADO NO LOCAL, MÍNIMO 200 KG CIMENTO / M³</v>
      </c>
    </row>
    <row r="1039" spans="1:19" s="414" customFormat="1">
      <c r="A1039" s="410" t="s">
        <v>710</v>
      </c>
      <c r="B1039" s="673"/>
      <c r="C1039" s="410"/>
      <c r="D1039" s="693" t="s">
        <v>2062</v>
      </c>
      <c r="E1039" s="638"/>
      <c r="F1039" s="679"/>
      <c r="G1039" s="413"/>
      <c r="H1039" s="413"/>
      <c r="I1039" s="413"/>
      <c r="J1039" s="10"/>
      <c r="K1039" s="498"/>
      <c r="L1039" s="474"/>
      <c r="M1039" s="471"/>
      <c r="N1039" s="419"/>
      <c r="O1039" s="541"/>
      <c r="P1039" s="419"/>
      <c r="Q1039" s="419"/>
      <c r="S1039" s="414" t="str">
        <f t="shared" si="120"/>
        <v>CONCRETO BOMBEADO</v>
      </c>
    </row>
    <row r="1040" spans="1:19" s="344" customFormat="1">
      <c r="A1040" s="49" t="s">
        <v>944</v>
      </c>
      <c r="B1040" s="49">
        <f>'[3]Plan Tron'!B27</f>
        <v>110132</v>
      </c>
      <c r="C1040" s="49" t="str">
        <f>'[3]Plan Tron'!C27</f>
        <v>CPOS</v>
      </c>
      <c r="D1040" s="142" t="str">
        <f>'[3]Plan Tron'!D27</f>
        <v xml:space="preserve">CONCRETO USINADO, FCK=30MPa - PARA BOMBEAMENTO </v>
      </c>
      <c r="E1040" s="678" t="str">
        <f>'[3]Plan Tron'!E27</f>
        <v>M³</v>
      </c>
      <c r="F1040" s="21">
        <v>7.2</v>
      </c>
      <c r="G1040" s="10">
        <v>336.65</v>
      </c>
      <c r="H1040" s="10">
        <f>'[3]Plan Tron'!F27</f>
        <v>311.94</v>
      </c>
      <c r="I1040" s="10">
        <v>26.44</v>
      </c>
      <c r="J1040" s="10">
        <f t="shared" si="121"/>
        <v>394.42</v>
      </c>
      <c r="K1040" s="383">
        <v>1.8</v>
      </c>
      <c r="L1040" s="474">
        <f>F1040-K1040</f>
        <v>5.4</v>
      </c>
      <c r="M1040" s="471">
        <f t="shared" si="118"/>
        <v>2129.87</v>
      </c>
      <c r="N1040" s="405"/>
      <c r="O1040" s="541"/>
      <c r="P1040" s="405"/>
      <c r="Q1040" s="405"/>
      <c r="S1040" s="344" t="str">
        <f t="shared" si="120"/>
        <v xml:space="preserve">CONCRETO USINADO, FCK=30MPA - PARA BOMBEAMENTO </v>
      </c>
    </row>
    <row r="1041" spans="1:37" s="414" customFormat="1">
      <c r="A1041" s="410" t="s">
        <v>1271</v>
      </c>
      <c r="B1041" s="673"/>
      <c r="C1041" s="410"/>
      <c r="D1041" s="693" t="s">
        <v>2236</v>
      </c>
      <c r="E1041" s="683"/>
      <c r="F1041" s="422"/>
      <c r="G1041" s="413"/>
      <c r="H1041" s="413"/>
      <c r="I1041" s="413"/>
      <c r="J1041" s="10"/>
      <c r="K1041" s="498"/>
      <c r="L1041" s="474"/>
      <c r="M1041" s="471"/>
      <c r="N1041" s="419"/>
      <c r="O1041" s="541"/>
      <c r="P1041" s="419"/>
      <c r="Q1041" s="419"/>
      <c r="S1041" s="414" t="str">
        <f t="shared" si="120"/>
        <v>APLICAÇÃO DE CONCRETO PROJETADO</v>
      </c>
    </row>
    <row r="1042" spans="1:37" s="344" customFormat="1">
      <c r="A1042" s="49" t="s">
        <v>1270</v>
      </c>
      <c r="B1042" s="49">
        <f>'[3]Plan Tron'!B162</f>
        <v>110512</v>
      </c>
      <c r="C1042" s="49" t="str">
        <f>'[3]Plan Tron'!C162</f>
        <v>CPOS</v>
      </c>
      <c r="D1042" s="142" t="str">
        <f>UPPER('[3]Plan Tron'!D162)</f>
        <v xml:space="preserve">EXECUÇÃO DE CONCRETO PROJETADO - CONSUMO DE CIMENTO 350 KG/M³ </v>
      </c>
      <c r="E1042" s="678" t="str">
        <f>'[3]Plan Tron'!E162</f>
        <v>M³</v>
      </c>
      <c r="F1042" s="21">
        <v>10.57</v>
      </c>
      <c r="G1042" s="10">
        <v>1843.18</v>
      </c>
      <c r="H1042" s="10">
        <f>'[3]Plan Tron'!F162</f>
        <v>1916.85</v>
      </c>
      <c r="I1042" s="10">
        <v>26.44</v>
      </c>
      <c r="J1042" s="10">
        <f t="shared" si="121"/>
        <v>2423.67</v>
      </c>
      <c r="K1042" s="383">
        <v>0</v>
      </c>
      <c r="L1042" s="474">
        <f>F1042-K1042</f>
        <v>10.57</v>
      </c>
      <c r="M1042" s="471">
        <f t="shared" si="118"/>
        <v>25618.19</v>
      </c>
      <c r="N1042" s="405"/>
      <c r="O1042" s="541"/>
      <c r="P1042" s="405"/>
      <c r="Q1042" s="405"/>
      <c r="S1042" s="344" t="str">
        <f t="shared" si="120"/>
        <v xml:space="preserve">EXECUÇÃO DE CONCRETO PROJETADO - CONSUMO DE CIMENTO 350 KG/M³ </v>
      </c>
    </row>
    <row r="1043" spans="1:37" s="344" customFormat="1">
      <c r="A1043" s="49"/>
      <c r="B1043" s="17"/>
      <c r="C1043" s="49"/>
      <c r="D1043" s="451"/>
      <c r="E1043" s="7"/>
      <c r="F1043" s="10"/>
      <c r="G1043" s="21"/>
      <c r="H1043" s="21"/>
      <c r="I1043" s="10"/>
      <c r="J1043" s="10"/>
      <c r="K1043" s="451"/>
      <c r="L1043" s="474"/>
      <c r="M1043" s="471"/>
      <c r="N1043" s="405"/>
      <c r="O1043" s="541"/>
      <c r="P1043" s="405"/>
      <c r="Q1043" s="405"/>
    </row>
    <row r="1044" spans="1:37" s="344" customFormat="1">
      <c r="A1044" s="49"/>
      <c r="B1044" s="37"/>
      <c r="C1044" s="49"/>
      <c r="D1044" s="52" t="s">
        <v>76</v>
      </c>
      <c r="E1044" s="7"/>
      <c r="F1044" s="21"/>
      <c r="G1044" s="10"/>
      <c r="H1044" s="10"/>
      <c r="I1044" s="10"/>
      <c r="J1044" s="10"/>
      <c r="K1044" s="383"/>
      <c r="L1044" s="474"/>
      <c r="M1044" s="471"/>
      <c r="N1044" s="405"/>
      <c r="O1044" s="541"/>
      <c r="P1044" s="405"/>
      <c r="Q1044" s="405"/>
      <c r="S1044" s="344" t="str">
        <f>UPPER(D1044)</f>
        <v/>
      </c>
    </row>
    <row r="1045" spans="1:37" s="390" customFormat="1">
      <c r="A1045" s="45">
        <v>3</v>
      </c>
      <c r="B1045" s="17"/>
      <c r="C1045" s="45"/>
      <c r="D1045" s="52" t="s">
        <v>2237</v>
      </c>
      <c r="E1045" s="7"/>
      <c r="F1045" s="10"/>
      <c r="G1045" s="21"/>
      <c r="H1045" s="21"/>
      <c r="I1045" s="10"/>
      <c r="J1045" s="10"/>
      <c r="K1045" s="631"/>
      <c r="L1045" s="632"/>
      <c r="M1045" s="471"/>
      <c r="N1045" s="633"/>
      <c r="O1045" s="634"/>
      <c r="P1045" s="633"/>
      <c r="Q1045" s="633"/>
      <c r="S1045" s="390" t="str">
        <f>UPPER(D1045)</f>
        <v>IMPERMEABILIZAÇÕES  E  PROTEÇÕES  DIVERSAS</v>
      </c>
    </row>
    <row r="1046" spans="1:37" s="711" customFormat="1">
      <c r="A1046" s="684" t="s">
        <v>144</v>
      </c>
      <c r="B1046" s="411"/>
      <c r="C1046" s="410"/>
      <c r="D1046" s="690" t="s">
        <v>2074</v>
      </c>
      <c r="E1046" s="617"/>
      <c r="F1046" s="422"/>
      <c r="G1046" s="422"/>
      <c r="H1046" s="422"/>
      <c r="I1046" s="413"/>
      <c r="J1046" s="413"/>
      <c r="K1046" s="709"/>
      <c r="L1046" s="632"/>
      <c r="M1046" s="471"/>
      <c r="N1046" s="710"/>
      <c r="O1046" s="634"/>
      <c r="P1046" s="710"/>
      <c r="Q1046" s="710"/>
      <c r="S1046" s="711" t="str">
        <f>UPPER(D1046)</f>
        <v>IMPERMEABILIZAÇÃO COM CIMENTO CRISTALIZADO</v>
      </c>
    </row>
    <row r="1047" spans="1:37" s="711" customFormat="1" ht="25.5">
      <c r="A1047" s="684" t="s">
        <v>143</v>
      </c>
      <c r="B1047" s="411"/>
      <c r="C1047" s="410"/>
      <c r="D1047" s="690" t="s">
        <v>2075</v>
      </c>
      <c r="E1047" s="617"/>
      <c r="F1047" s="422"/>
      <c r="G1047" s="422"/>
      <c r="H1047" s="422"/>
      <c r="I1047" s="413"/>
      <c r="J1047" s="413"/>
      <c r="K1047" s="709"/>
      <c r="L1047" s="632"/>
      <c r="M1047" s="471"/>
      <c r="N1047" s="710"/>
      <c r="O1047" s="634"/>
      <c r="P1047" s="710"/>
      <c r="Q1047" s="710"/>
      <c r="S1047" s="711" t="str">
        <f>UPPER(D1047)</f>
        <v>CIMENTO ESPECIAL CRISTALIZANTE DENVERLIT C/ EMULSÃO ADESIVA DENVERFIX - DENVER - 1 DEMÃO P/ SUBSOLO / BALDRAMES / GALERIAS / JARDINEIRAS / ETC.</v>
      </c>
    </row>
    <row r="1048" spans="1:37" s="390" customFormat="1">
      <c r="A1048" s="49" t="s">
        <v>343</v>
      </c>
      <c r="B1048" s="49" t="str">
        <f>'[3]Plan Tron'!B33</f>
        <v>73929/001</v>
      </c>
      <c r="C1048" s="49" t="str">
        <f>'[3]Plan Tron'!C33</f>
        <v>SINAPI</v>
      </c>
      <c r="D1048" s="691" t="str">
        <f>'[3]Plan Tron'!D33</f>
        <v>IMPERMEABILIZACAO DE SUPERFICIE COM CIMENTO ESPECIAL CRISTALIZANTE COM ADESIVO LIQUIDO, UMA DEMAO.</v>
      </c>
      <c r="E1048" s="77" t="str">
        <f>'[3]Plan Tron'!E33</f>
        <v>M²</v>
      </c>
      <c r="F1048" s="21">
        <v>54.19</v>
      </c>
      <c r="G1048" s="10">
        <v>18.329999999999998</v>
      </c>
      <c r="H1048" s="10">
        <f>'[3]Plan Tron'!F33</f>
        <v>30.96</v>
      </c>
      <c r="I1048" s="10">
        <v>26.44</v>
      </c>
      <c r="J1048" s="10">
        <f>ROUND(H1048*(I1048/100+1),2)</f>
        <v>39.15</v>
      </c>
      <c r="K1048" s="631">
        <v>0</v>
      </c>
      <c r="L1048" s="632">
        <f>F1048-K1048</f>
        <v>54.19</v>
      </c>
      <c r="M1048" s="471">
        <f t="shared" si="118"/>
        <v>2121.54</v>
      </c>
      <c r="N1048" s="633"/>
      <c r="O1048" s="634"/>
      <c r="P1048" s="633"/>
      <c r="Q1048" s="633"/>
      <c r="S1048" s="390" t="str">
        <f>UPPER(D1048)</f>
        <v>IMPERMEABILIZACAO DE SUPERFICIE COM CIMENTO ESPECIAL CRISTALIZANTE COM ADESIVO LIQUIDO, UMA DEMAO.</v>
      </c>
    </row>
    <row r="1049" spans="1:37" s="344" customFormat="1">
      <c r="A1049" s="49"/>
      <c r="B1049" s="17"/>
      <c r="C1049" s="49"/>
      <c r="D1049" s="451"/>
      <c r="E1049" s="7"/>
      <c r="F1049" s="10"/>
      <c r="G1049" s="10"/>
      <c r="H1049" s="10"/>
      <c r="I1049" s="10"/>
      <c r="J1049" s="10"/>
      <c r="K1049" s="451"/>
      <c r="L1049" s="474"/>
      <c r="M1049" s="471"/>
      <c r="N1049" s="405"/>
      <c r="O1049" s="541"/>
      <c r="P1049" s="405"/>
      <c r="Q1049" s="405"/>
    </row>
    <row r="1050" spans="1:37" s="344" customFormat="1">
      <c r="A1050" s="49"/>
      <c r="B1050" s="17"/>
      <c r="C1050" s="49"/>
      <c r="D1050" s="52" t="s">
        <v>76</v>
      </c>
      <c r="E1050" s="7"/>
      <c r="F1050" s="10"/>
      <c r="G1050" s="10"/>
      <c r="H1050" s="10"/>
      <c r="I1050" s="10"/>
      <c r="J1050" s="10"/>
      <c r="K1050" s="383"/>
      <c r="L1050" s="474"/>
      <c r="M1050" s="471"/>
      <c r="N1050" s="405"/>
      <c r="O1050" s="541"/>
      <c r="P1050" s="405"/>
      <c r="Q1050" s="405"/>
      <c r="S1050" s="344" t="str">
        <f>UPPER(D1050)</f>
        <v/>
      </c>
    </row>
    <row r="1051" spans="1:37" s="344" customFormat="1">
      <c r="A1051" s="122">
        <v>4</v>
      </c>
      <c r="B1051" s="123"/>
      <c r="C1051" s="122"/>
      <c r="D1051" s="702" t="s">
        <v>2107</v>
      </c>
      <c r="E1051" s="119"/>
      <c r="F1051" s="120"/>
      <c r="G1051" s="121"/>
      <c r="H1051" s="121"/>
      <c r="I1051" s="10"/>
      <c r="J1051" s="10"/>
      <c r="K1051" s="383"/>
      <c r="L1051" s="474"/>
      <c r="M1051" s="471"/>
      <c r="N1051" s="405"/>
      <c r="O1051" s="541"/>
      <c r="P1051" s="405"/>
      <c r="Q1051" s="405"/>
      <c r="S1051" s="344" t="str">
        <f>UPPER(D1051)</f>
        <v>PINTURAS</v>
      </c>
    </row>
    <row r="1052" spans="1:37" s="414" customFormat="1">
      <c r="A1052" s="684" t="s">
        <v>139</v>
      </c>
      <c r="B1052" s="411"/>
      <c r="C1052" s="410"/>
      <c r="D1052" s="690" t="s">
        <v>2113</v>
      </c>
      <c r="E1052" s="617"/>
      <c r="F1052" s="422"/>
      <c r="G1052" s="422"/>
      <c r="H1052" s="422"/>
      <c r="I1052" s="413"/>
      <c r="J1052" s="413"/>
      <c r="K1052" s="498"/>
      <c r="L1052" s="474"/>
      <c r="M1052" s="471"/>
      <c r="N1052" s="419"/>
      <c r="O1052" s="541"/>
      <c r="P1052" s="419"/>
      <c r="Q1052" s="419"/>
      <c r="S1052" s="414" t="str">
        <f>UPPER(D1052)</f>
        <v>PINTURA EM CONCRETO APARENTE</v>
      </c>
    </row>
    <row r="1053" spans="1:37" s="344" customFormat="1">
      <c r="A1053" s="126" t="s">
        <v>138</v>
      </c>
      <c r="B1053" s="49">
        <f>'[3]Plan Tron'!B75</f>
        <v>84678</v>
      </c>
      <c r="C1053" s="49" t="str">
        <f>'[3]Plan Tron'!C75</f>
        <v>SINAPI</v>
      </c>
      <c r="D1053" s="15" t="str">
        <f>'[3]Plan Tron'!D75</f>
        <v xml:space="preserve">VERNIZ POLIURETANO BRILHANTE EM CONCRETO OU TIJOLO, TRES DEMAOS </v>
      </c>
      <c r="E1053" s="77" t="str">
        <f>'[3]Plan Tron'!E75</f>
        <v>M²</v>
      </c>
      <c r="F1053" s="21">
        <v>6.13</v>
      </c>
      <c r="G1053" s="21">
        <v>11.75</v>
      </c>
      <c r="H1053" s="21">
        <f>'[3]Plan Tron'!F75</f>
        <v>16.84</v>
      </c>
      <c r="I1053" s="10">
        <v>26.44</v>
      </c>
      <c r="J1053" s="10">
        <f>ROUND(H1053*(I1053/100+1),2)</f>
        <v>21.29</v>
      </c>
      <c r="K1053" s="383">
        <v>0</v>
      </c>
      <c r="L1053" s="474">
        <f>F1053-K1053</f>
        <v>6.13</v>
      </c>
      <c r="M1053" s="471">
        <f t="shared" si="118"/>
        <v>130.51</v>
      </c>
      <c r="N1053" s="405"/>
      <c r="O1053" s="541"/>
      <c r="P1053" s="405"/>
      <c r="Q1053" s="405"/>
      <c r="S1053" s="344" t="str">
        <f>UPPER(D1053)</f>
        <v xml:space="preserve">VERNIZ POLIURETANO BRILHANTE EM CONCRETO OU TIJOLO, TRES DEMAOS </v>
      </c>
    </row>
    <row r="1054" spans="1:37">
      <c r="A1054" s="73"/>
      <c r="B1054" s="17"/>
      <c r="C1054" s="73"/>
      <c r="D1054" s="463"/>
      <c r="E1054" s="7"/>
      <c r="F1054" s="10"/>
      <c r="G1054" s="303"/>
      <c r="H1054" s="10"/>
      <c r="I1054" s="10"/>
      <c r="J1054" s="10"/>
      <c r="K1054" s="463"/>
      <c r="L1054" s="474"/>
      <c r="M1054" s="472"/>
      <c r="N1054" s="405"/>
      <c r="O1054" s="541"/>
      <c r="P1054" s="405"/>
      <c r="Q1054" s="405"/>
    </row>
    <row r="1055" spans="1:37">
      <c r="A1055" s="73"/>
      <c r="B1055" s="17"/>
      <c r="C1055" s="73"/>
      <c r="D1055" s="463"/>
      <c r="E1055" s="7"/>
      <c r="F1055" s="10"/>
      <c r="G1055" s="303"/>
      <c r="H1055" s="10"/>
      <c r="I1055" s="10"/>
      <c r="J1055" s="10"/>
      <c r="K1055" s="463"/>
      <c r="L1055" s="474"/>
      <c r="M1055" s="472"/>
      <c r="N1055" s="405"/>
      <c r="O1055" s="541"/>
      <c r="P1055" s="405"/>
      <c r="Q1055" s="405"/>
    </row>
    <row r="1056" spans="1:37" s="299" customFormat="1">
      <c r="A1056" s="297"/>
      <c r="B1056" s="298"/>
      <c r="C1056" s="298"/>
      <c r="D1056" s="513" t="s">
        <v>2366</v>
      </c>
      <c r="E1056" s="297"/>
      <c r="F1056" s="298"/>
      <c r="G1056" s="301"/>
      <c r="H1056" s="338"/>
      <c r="I1056" s="298"/>
      <c r="J1056" s="298"/>
      <c r="K1056" s="513"/>
      <c r="L1056" s="508"/>
      <c r="M1056" s="505">
        <f>SUM(M1010:M1054)</f>
        <v>46340.740000000005</v>
      </c>
      <c r="N1056" s="405"/>
      <c r="O1056" s="541"/>
      <c r="P1056" s="405"/>
      <c r="Q1056" s="405"/>
      <c r="R1056" s="388"/>
      <c r="S1056" s="344" t="str">
        <f>UPPER(K1056)</f>
        <v/>
      </c>
      <c r="T1056" s="388"/>
      <c r="U1056" s="388"/>
      <c r="V1056" s="388"/>
      <c r="W1056" s="388"/>
      <c r="X1056" s="388"/>
      <c r="Y1056" s="388"/>
      <c r="Z1056" s="388"/>
      <c r="AA1056" s="388"/>
      <c r="AB1056" s="388"/>
      <c r="AC1056" s="388"/>
      <c r="AD1056" s="388"/>
      <c r="AE1056" s="388"/>
      <c r="AF1056" s="388"/>
      <c r="AG1056" s="388"/>
      <c r="AH1056" s="388"/>
      <c r="AI1056" s="388"/>
      <c r="AJ1056" s="388"/>
      <c r="AK1056" s="388"/>
    </row>
    <row r="1057" spans="1:19">
      <c r="A1057" s="296"/>
      <c r="B1057" s="44"/>
      <c r="C1057" s="44"/>
      <c r="D1057" s="442" t="s">
        <v>76</v>
      </c>
      <c r="E1057" s="296" t="s">
        <v>76</v>
      </c>
      <c r="F1057" s="44"/>
      <c r="G1057" s="302"/>
      <c r="H1057" s="339"/>
      <c r="I1057" s="44"/>
      <c r="J1057" s="44"/>
      <c r="K1057" s="383"/>
      <c r="L1057" s="474"/>
      <c r="M1057" s="471"/>
      <c r="N1057" s="405"/>
      <c r="O1057" s="541"/>
      <c r="P1057" s="405"/>
      <c r="Q1057" s="405"/>
      <c r="S1057" s="344" t="str">
        <f t="shared" ref="S1057:S1080" si="122">UPPER(D1057)</f>
        <v/>
      </c>
    </row>
    <row r="1058" spans="1:19" s="450" customFormat="1">
      <c r="A1058" s="445" t="s">
        <v>45</v>
      </c>
      <c r="B1058" s="446"/>
      <c r="C1058" s="447"/>
      <c r="D1058" s="448" t="s">
        <v>1971</v>
      </c>
      <c r="E1058" s="453" t="s">
        <v>76</v>
      </c>
      <c r="F1058" s="446"/>
      <c r="G1058" s="446"/>
      <c r="H1058" s="446"/>
      <c r="I1058" s="446"/>
      <c r="J1058" s="446"/>
      <c r="K1058" s="473"/>
      <c r="L1058" s="478"/>
      <c r="M1058" s="479"/>
      <c r="N1058" s="454"/>
      <c r="O1058" s="541"/>
      <c r="P1058" s="454"/>
      <c r="Q1058" s="454"/>
      <c r="S1058" s="450" t="str">
        <f t="shared" si="122"/>
        <v>TANQUE DE EQUALIZAÇÃO</v>
      </c>
    </row>
    <row r="1059" spans="1:19" s="344" customFormat="1">
      <c r="A1059" s="152">
        <v>1</v>
      </c>
      <c r="B1059" s="153"/>
      <c r="C1059" s="152"/>
      <c r="D1059" s="397" t="s">
        <v>2038</v>
      </c>
      <c r="E1059" s="154" t="s">
        <v>76</v>
      </c>
      <c r="F1059" s="158"/>
      <c r="G1059" s="148"/>
      <c r="H1059" s="148"/>
      <c r="I1059" s="148"/>
      <c r="J1059" s="148"/>
      <c r="K1059" s="383"/>
      <c r="L1059" s="474"/>
      <c r="M1059" s="471"/>
      <c r="N1059" s="405"/>
      <c r="O1059" s="541"/>
      <c r="P1059" s="405"/>
      <c r="Q1059" s="405"/>
      <c r="S1059" s="344" t="str">
        <f t="shared" si="122"/>
        <v>MOVIMENTO DE TERRA</v>
      </c>
    </row>
    <row r="1060" spans="1:19" s="414" customFormat="1">
      <c r="A1060" s="410" t="s">
        <v>20</v>
      </c>
      <c r="B1060" s="411"/>
      <c r="C1060" s="410"/>
      <c r="D1060" s="613" t="s">
        <v>2041</v>
      </c>
      <c r="E1060" s="424" t="s">
        <v>76</v>
      </c>
      <c r="F1060" s="422"/>
      <c r="G1060" s="671"/>
      <c r="H1060" s="671"/>
      <c r="I1060" s="671"/>
      <c r="J1060" s="671"/>
      <c r="K1060" s="498"/>
      <c r="L1060" s="474"/>
      <c r="M1060" s="471"/>
      <c r="N1060" s="419"/>
      <c r="O1060" s="541"/>
      <c r="P1060" s="419"/>
      <c r="Q1060" s="419"/>
      <c r="S1060" s="414" t="str">
        <f t="shared" si="122"/>
        <v>ESCAVAÇÃO DE VALAS</v>
      </c>
    </row>
    <row r="1061" spans="1:19" s="414" customFormat="1">
      <c r="A1061" s="410" t="s">
        <v>153</v>
      </c>
      <c r="B1061" s="411"/>
      <c r="C1061" s="410"/>
      <c r="D1061" s="613" t="s">
        <v>2238</v>
      </c>
      <c r="E1061" s="424" t="s">
        <v>76</v>
      </c>
      <c r="F1061" s="422"/>
      <c r="G1061" s="671"/>
      <c r="H1061" s="671"/>
      <c r="I1061" s="671"/>
      <c r="J1061" s="671"/>
      <c r="K1061" s="498"/>
      <c r="L1061" s="474"/>
      <c r="M1061" s="471"/>
      <c r="N1061" s="419"/>
      <c r="O1061" s="541"/>
      <c r="P1061" s="419"/>
      <c r="Q1061" s="419"/>
      <c r="S1061" s="414" t="str">
        <f t="shared" si="122"/>
        <v>ESCAVAÇÃO MANUAL DE CAVAS</v>
      </c>
    </row>
    <row r="1062" spans="1:19" s="344" customFormat="1">
      <c r="A1062" s="49" t="s">
        <v>152</v>
      </c>
      <c r="B1062" s="49">
        <f>'[3]Plan Tron'!B7</f>
        <v>60202</v>
      </c>
      <c r="C1062" s="49" t="str">
        <f>'[3]Plan Tron'!C7</f>
        <v>CPOS</v>
      </c>
      <c r="D1062" s="612" t="str">
        <f>'[3]Plan Tron'!D7</f>
        <v xml:space="preserve">ESCAVAÇÃO MANUAL EM SOLO DE 1ª E 2ª CATEGORIA EM VALA OU CAVA ATÉ 1,50M </v>
      </c>
      <c r="E1062" s="49" t="str">
        <f>'[3]Plan Tron'!E7</f>
        <v>M³</v>
      </c>
      <c r="F1062" s="21">
        <v>93.662745951641597</v>
      </c>
      <c r="G1062" s="148">
        <v>41.34</v>
      </c>
      <c r="H1062" s="148">
        <f>'[3]Plan Tron'!F7</f>
        <v>34.020000000000003</v>
      </c>
      <c r="I1062" s="148">
        <v>26.44</v>
      </c>
      <c r="J1062" s="148">
        <f>ROUND(H1062*(I1062/100+1),2)</f>
        <v>43.01</v>
      </c>
      <c r="K1062" s="383">
        <v>0</v>
      </c>
      <c r="L1062" s="474">
        <f t="shared" ref="L1062:L1070" si="123">F1062-K1062</f>
        <v>93.662745951641597</v>
      </c>
      <c r="M1062" s="471">
        <f t="shared" ref="M1062:M1123" si="124">ROUND(L1062*J1062,2)</f>
        <v>4028.43</v>
      </c>
      <c r="N1062" s="405"/>
      <c r="O1062" s="541"/>
      <c r="P1062" s="405"/>
      <c r="Q1062" s="405"/>
      <c r="S1062" s="344" t="str">
        <f t="shared" si="122"/>
        <v xml:space="preserve">ESCAVAÇÃO MANUAL EM SOLO DE 1ª E 2ª CATEGORIA EM VALA OU CAVA ATÉ 1,50M </v>
      </c>
    </row>
    <row r="1063" spans="1:19" s="344" customFormat="1">
      <c r="A1063" s="49" t="s">
        <v>320</v>
      </c>
      <c r="B1063" s="49">
        <f>'[3]Plan Tron'!B8</f>
        <v>60204</v>
      </c>
      <c r="C1063" s="49" t="str">
        <f>'[3]Plan Tron'!C8</f>
        <v>CPOS</v>
      </c>
      <c r="D1063" s="612" t="str">
        <f>'[3]Plan Tron'!D8</f>
        <v>ESCAVAÇÃO MANUAL EM SOLO DE 1ª E 2ª CATEGORIA EM VALA OU CAVA DE 1,5M A 3M</v>
      </c>
      <c r="E1063" s="49" t="str">
        <f>'[3]Plan Tron'!E8</f>
        <v>M³</v>
      </c>
      <c r="F1063" s="21">
        <v>66.18550322950297</v>
      </c>
      <c r="G1063" s="148">
        <v>53.15</v>
      </c>
      <c r="H1063" s="148">
        <f>'[3]Plan Tron'!F8</f>
        <v>44</v>
      </c>
      <c r="I1063" s="148">
        <v>26.44</v>
      </c>
      <c r="J1063" s="148">
        <f t="shared" ref="J1063:J1070" si="125">ROUND(H1063*(I1063/100+1),2)</f>
        <v>55.63</v>
      </c>
      <c r="K1063" s="383">
        <v>0</v>
      </c>
      <c r="L1063" s="474">
        <f t="shared" si="123"/>
        <v>66.18550322950297</v>
      </c>
      <c r="M1063" s="471">
        <f t="shared" si="124"/>
        <v>3681.9</v>
      </c>
      <c r="N1063" s="405"/>
      <c r="O1063" s="541"/>
      <c r="P1063" s="405"/>
      <c r="Q1063" s="405"/>
      <c r="S1063" s="344" t="str">
        <f t="shared" si="122"/>
        <v>ESCAVAÇÃO MANUAL EM SOLO DE 1ª E 2ª CATEGORIA EM VALA OU CAVA DE 1,5M A 3M</v>
      </c>
    </row>
    <row r="1064" spans="1:19" s="344" customFormat="1">
      <c r="A1064" s="49" t="s">
        <v>1139</v>
      </c>
      <c r="B1064" s="49">
        <f>'[3]Plan Tron'!B9</f>
        <v>60204</v>
      </c>
      <c r="C1064" s="49" t="str">
        <f>'[3]Plan Tron'!C9</f>
        <v>CPOS</v>
      </c>
      <c r="D1064" s="612" t="str">
        <f>'[3]Plan Tron'!D9</f>
        <v>ESCAVAÇÃO MANUAL EM SOLO DE 1ª E 2ª CATEGORIA EM VALA OU CAVA DE 3M A 4,50M</v>
      </c>
      <c r="E1064" s="49" t="str">
        <f>'[3]Plan Tron'!E9</f>
        <v>M³</v>
      </c>
      <c r="F1064" s="21">
        <v>66.18550322950297</v>
      </c>
      <c r="G1064" s="148">
        <v>70.87</v>
      </c>
      <c r="H1064" s="148">
        <f>'[3]Plan Tron'!F9</f>
        <v>44</v>
      </c>
      <c r="I1064" s="148">
        <v>26.44</v>
      </c>
      <c r="J1064" s="148">
        <f t="shared" si="125"/>
        <v>55.63</v>
      </c>
      <c r="K1064" s="383">
        <v>0</v>
      </c>
      <c r="L1064" s="474">
        <f t="shared" si="123"/>
        <v>66.18550322950297</v>
      </c>
      <c r="M1064" s="471">
        <f t="shared" si="124"/>
        <v>3681.9</v>
      </c>
      <c r="N1064" s="405"/>
      <c r="O1064" s="541"/>
      <c r="P1064" s="405"/>
      <c r="Q1064" s="405"/>
      <c r="S1064" s="344" t="str">
        <f t="shared" si="122"/>
        <v>ESCAVAÇÃO MANUAL EM SOLO DE 1ª E 2ª CATEGORIA EM VALA OU CAVA DE 3M A 4,50M</v>
      </c>
    </row>
    <row r="1065" spans="1:19" s="344" customFormat="1">
      <c r="A1065" s="49" t="s">
        <v>1138</v>
      </c>
      <c r="B1065" s="49">
        <f>'[3]Plan Tron'!B10</f>
        <v>60204</v>
      </c>
      <c r="C1065" s="49" t="str">
        <f>'[3]Plan Tron'!C10</f>
        <v>CPOS</v>
      </c>
      <c r="D1065" s="612" t="str">
        <f>'[3]Plan Tron'!D10</f>
        <v>ESCAVAÇÃO MANUAL EM SOLO DE 1ª E 2ª CATEGORIA EM VALA OU CAVA DE 4,50M A 6M</v>
      </c>
      <c r="E1065" s="49" t="str">
        <f>'[3]Plan Tron'!E10</f>
        <v>M³</v>
      </c>
      <c r="F1065" s="21">
        <v>110.30917204917162</v>
      </c>
      <c r="G1065" s="148">
        <v>94.46</v>
      </c>
      <c r="H1065" s="148">
        <f>'[3]Plan Tron'!F10</f>
        <v>44</v>
      </c>
      <c r="I1065" s="148">
        <v>26.44</v>
      </c>
      <c r="J1065" s="148">
        <f t="shared" si="125"/>
        <v>55.63</v>
      </c>
      <c r="K1065" s="383">
        <v>0</v>
      </c>
      <c r="L1065" s="474">
        <f t="shared" si="123"/>
        <v>110.30917204917162</v>
      </c>
      <c r="M1065" s="471">
        <f t="shared" si="124"/>
        <v>6136.5</v>
      </c>
      <c r="N1065" s="405"/>
      <c r="O1065" s="541"/>
      <c r="P1065" s="405"/>
      <c r="Q1065" s="405"/>
      <c r="S1065" s="344" t="str">
        <f t="shared" si="122"/>
        <v>ESCAVAÇÃO MANUAL EM SOLO DE 1ª E 2ª CATEGORIA EM VALA OU CAVA DE 4,50M A 6M</v>
      </c>
    </row>
    <row r="1066" spans="1:19" s="344" customFormat="1" ht="38.25">
      <c r="A1066" s="49" t="s">
        <v>1293</v>
      </c>
      <c r="B1066" s="11" t="s">
        <v>1292</v>
      </c>
      <c r="C1066" s="49"/>
      <c r="D1066" s="26" t="s">
        <v>2239</v>
      </c>
      <c r="E1066" s="24" t="s">
        <v>2335</v>
      </c>
      <c r="F1066" s="21">
        <v>132.37100645900594</v>
      </c>
      <c r="G1066" s="148">
        <v>123.98</v>
      </c>
      <c r="H1066" s="9">
        <f t="shared" ref="H1066:H1070" si="126">G1066*$P$7</f>
        <v>143.234094</v>
      </c>
      <c r="I1066" s="148">
        <v>26.44</v>
      </c>
      <c r="J1066" s="148">
        <f t="shared" si="125"/>
        <v>181.11</v>
      </c>
      <c r="K1066" s="383">
        <v>0</v>
      </c>
      <c r="L1066" s="474">
        <f t="shared" si="123"/>
        <v>132.37100645900594</v>
      </c>
      <c r="M1066" s="471">
        <f t="shared" si="124"/>
        <v>23973.71</v>
      </c>
      <c r="N1066" s="405"/>
      <c r="O1066" s="541"/>
      <c r="P1066" s="405"/>
      <c r="Q1066" s="405"/>
      <c r="S1066" s="344" t="str">
        <f t="shared" si="122"/>
        <v>ESCAVAÇÃO MANUAL DE CAVA EM MATERIAL DE 1ª CATEGORIA, DE 6M ATÉ 7,5M, EXCLUI ESGOTAMENTO, ESCORAMENTO, IMPOSSIBILITANDO ENTRADA DE CAMINHÃO OU EQUIPAMENTO MOTORIZADO P/ RETIRADA DO MATERIAL.</v>
      </c>
    </row>
    <row r="1067" spans="1:19" s="344" customFormat="1" ht="38.25">
      <c r="A1067" s="49" t="s">
        <v>1291</v>
      </c>
      <c r="B1067" s="11" t="s">
        <v>1290</v>
      </c>
      <c r="C1067" s="49"/>
      <c r="D1067" s="26" t="s">
        <v>2240</v>
      </c>
      <c r="E1067" s="24" t="s">
        <v>2335</v>
      </c>
      <c r="F1067" s="21">
        <v>132.37100645900594</v>
      </c>
      <c r="G1067" s="148">
        <v>159.41</v>
      </c>
      <c r="H1067" s="9">
        <f t="shared" si="126"/>
        <v>184.16637299999999</v>
      </c>
      <c r="I1067" s="148">
        <v>26.44</v>
      </c>
      <c r="J1067" s="148">
        <f t="shared" si="125"/>
        <v>232.86</v>
      </c>
      <c r="K1067" s="383">
        <v>0</v>
      </c>
      <c r="L1067" s="474">
        <f t="shared" si="123"/>
        <v>132.37100645900594</v>
      </c>
      <c r="M1067" s="471">
        <f t="shared" si="124"/>
        <v>30823.91</v>
      </c>
      <c r="N1067" s="405"/>
      <c r="O1067" s="541"/>
      <c r="P1067" s="405"/>
      <c r="Q1067" s="405"/>
      <c r="S1067" s="344" t="str">
        <f t="shared" si="122"/>
        <v>ESCAVAÇÃO MANUAL DE CAVA EM MATERIAL DE 1ª CATEGORIA, DE 7,5M ATÉ 9M, EXCLUI ESGOTAMENTO, ESCORAMENTO, IMPOSSIBILITANDO ENTRADA DE CAMINHÃO OU EQUIPAMENTO MOTORIZADO P/ RETIRADA DO MATERIAL.</v>
      </c>
    </row>
    <row r="1068" spans="1:19" s="344" customFormat="1" ht="38.25">
      <c r="A1068" s="49" t="s">
        <v>1289</v>
      </c>
      <c r="B1068" s="11" t="s">
        <v>1288</v>
      </c>
      <c r="C1068" s="49"/>
      <c r="D1068" s="26" t="s">
        <v>2241</v>
      </c>
      <c r="E1068" s="24" t="s">
        <v>2335</v>
      </c>
      <c r="F1068" s="21">
        <v>132.37100645900594</v>
      </c>
      <c r="G1068" s="148">
        <v>200.74</v>
      </c>
      <c r="H1068" s="9">
        <f t="shared" si="126"/>
        <v>231.91492200000002</v>
      </c>
      <c r="I1068" s="148">
        <v>26.44</v>
      </c>
      <c r="J1068" s="148">
        <f t="shared" si="125"/>
        <v>293.23</v>
      </c>
      <c r="K1068" s="383">
        <v>0</v>
      </c>
      <c r="L1068" s="474">
        <f t="shared" si="123"/>
        <v>132.37100645900594</v>
      </c>
      <c r="M1068" s="471">
        <f t="shared" si="124"/>
        <v>38815.15</v>
      </c>
      <c r="N1068" s="405"/>
      <c r="O1068" s="541"/>
      <c r="P1068" s="405"/>
      <c r="Q1068" s="405"/>
      <c r="S1068" s="344" t="str">
        <f t="shared" si="122"/>
        <v>ESCAVAÇÃO MANUAL DE CAVA EM MATERIAL DE 1ª CATEGORIA, DE 9,0 M ATÉ 10,5M, EXCLUI ESGOTAMENTO, ESCORAMENTO, IMPOSSIBILITANDO ENTRADA DE CAMINHÃO OU EQUIPAMENTO MOTORIZADO P/ RETIRADA DO MATERIAL.</v>
      </c>
    </row>
    <row r="1069" spans="1:19" s="344" customFormat="1" ht="38.25">
      <c r="A1069" s="49" t="s">
        <v>1287</v>
      </c>
      <c r="B1069" s="11" t="s">
        <v>1286</v>
      </c>
      <c r="C1069" s="49"/>
      <c r="D1069" s="26" t="s">
        <v>2242</v>
      </c>
      <c r="E1069" s="24" t="s">
        <v>2335</v>
      </c>
      <c r="F1069" s="21">
        <v>132.37100645900594</v>
      </c>
      <c r="G1069" s="148">
        <v>247.97</v>
      </c>
      <c r="H1069" s="9">
        <f t="shared" si="126"/>
        <v>286.47974099999999</v>
      </c>
      <c r="I1069" s="148">
        <v>26.44</v>
      </c>
      <c r="J1069" s="148">
        <f t="shared" si="125"/>
        <v>362.22</v>
      </c>
      <c r="K1069" s="383">
        <v>0</v>
      </c>
      <c r="L1069" s="474">
        <f t="shared" si="123"/>
        <v>132.37100645900594</v>
      </c>
      <c r="M1069" s="471">
        <f t="shared" si="124"/>
        <v>47947.43</v>
      </c>
      <c r="N1069" s="405"/>
      <c r="O1069" s="541"/>
      <c r="P1069" s="405"/>
      <c r="Q1069" s="405"/>
      <c r="S1069" s="344" t="str">
        <f t="shared" si="122"/>
        <v>ESCAVAÇÃO MANUAL DE CAVA EM MATERIAL DE 1ª CATEGORIA, DE 10,5 M ATÉ 12,0 M, EXCLUI ESGOTAMENTO, ESCORAMENTO, IMPOSSIBILITANDO ENTRADA DE CAMINHÃO OU EQUIPAMENTO MOTORIZADO P/ RETIRADA DO MATERIAL.</v>
      </c>
    </row>
    <row r="1070" spans="1:19" s="344" customFormat="1" ht="38.25">
      <c r="A1070" s="49" t="s">
        <v>1285</v>
      </c>
      <c r="B1070" s="11" t="s">
        <v>1284</v>
      </c>
      <c r="C1070" s="49"/>
      <c r="D1070" s="26" t="s">
        <v>2243</v>
      </c>
      <c r="E1070" s="24" t="s">
        <v>2335</v>
      </c>
      <c r="F1070" s="21">
        <v>43.241195443276077</v>
      </c>
      <c r="G1070" s="148">
        <v>301.10000000000002</v>
      </c>
      <c r="H1070" s="9">
        <f t="shared" si="126"/>
        <v>347.86083000000002</v>
      </c>
      <c r="I1070" s="148">
        <v>26.44</v>
      </c>
      <c r="J1070" s="148">
        <f t="shared" si="125"/>
        <v>439.84</v>
      </c>
      <c r="K1070" s="383">
        <v>0</v>
      </c>
      <c r="L1070" s="474">
        <f t="shared" si="123"/>
        <v>43.241195443276077</v>
      </c>
      <c r="M1070" s="471">
        <f t="shared" si="124"/>
        <v>19019.21</v>
      </c>
      <c r="N1070" s="405"/>
      <c r="O1070" s="541"/>
      <c r="P1070" s="405"/>
      <c r="Q1070" s="405"/>
      <c r="S1070" s="344" t="str">
        <f t="shared" si="122"/>
        <v>ESCAVAÇÃO MANUAL DE CAVA EM MATERIAL DE 1ª CATEGORIA, DE 12,0 M ATÉ 13,5 M, EXCLUI ESGOTAMENTO, ESCORAMENTO, IMPOSSIBILITANDO ENTRADA DE CAMINHÃO OU EQUIPAMENTO MOTORIZADO P/ RETIRADA DO MATERIAL.</v>
      </c>
    </row>
    <row r="1071" spans="1:19" s="414" customFormat="1">
      <c r="A1071" s="410" t="s">
        <v>151</v>
      </c>
      <c r="B1071" s="411"/>
      <c r="C1071" s="410"/>
      <c r="D1071" s="613" t="s">
        <v>2042</v>
      </c>
      <c r="E1071" s="424"/>
      <c r="F1071" s="422"/>
      <c r="G1071" s="671"/>
      <c r="H1071" s="671"/>
      <c r="I1071" s="671"/>
      <c r="J1071" s="671"/>
      <c r="K1071" s="498"/>
      <c r="L1071" s="474"/>
      <c r="M1071" s="471"/>
      <c r="N1071" s="419"/>
      <c r="O1071" s="541"/>
      <c r="P1071" s="419"/>
      <c r="Q1071" s="419"/>
      <c r="S1071" s="414" t="str">
        <f t="shared" si="122"/>
        <v>ESCAVAÇÃO MECÂNICA DE CAVAS</v>
      </c>
    </row>
    <row r="1072" spans="1:19" s="344" customFormat="1" ht="38.25">
      <c r="A1072" s="49" t="s">
        <v>150</v>
      </c>
      <c r="B1072" s="49">
        <f>'[3]Plan Tron'!B150</f>
        <v>90082</v>
      </c>
      <c r="C1072" s="49" t="str">
        <f>'[3]Plan Tron'!C150</f>
        <v>SINAPI</v>
      </c>
      <c r="D1072" s="26" t="str">
        <f>'[3]Plan Tron'!D150</f>
        <v>ESCAVAÇÃO MECANIZADA DE VALA COM PROF. ATÉ 1,5 M (MÉDIA ENTRE MONTANTE E JUSANTE/UMA COMPOSIÇÃO POR TRECHO), COM ESCAVADEIRA HIDRÁULICA (0,8M3/111 HP), LARG. DE 1,5 M A 2,5 M, EM SOLO DE 1A CATEGORIA, EM LOCAIS COM ALTO NÍVEL DE INTERFERÊNCIA. AF_01/2015</v>
      </c>
      <c r="E1072" s="77" t="str">
        <f>'[3]Plan Tron'!E150</f>
        <v>M³</v>
      </c>
      <c r="F1072" s="21">
        <v>66.44</v>
      </c>
      <c r="G1072" s="148">
        <v>10.220000000000001</v>
      </c>
      <c r="H1072" s="148">
        <f>'[3]Plan Tron'!F150</f>
        <v>12.82</v>
      </c>
      <c r="I1072" s="148">
        <v>26.44</v>
      </c>
      <c r="J1072" s="148">
        <f>ROUND(H1072*(I1072/100+1),2)</f>
        <v>16.21</v>
      </c>
      <c r="K1072" s="383">
        <v>0</v>
      </c>
      <c r="L1072" s="474">
        <f>F1072-K1072</f>
        <v>66.44</v>
      </c>
      <c r="M1072" s="471">
        <f t="shared" si="124"/>
        <v>1076.99</v>
      </c>
      <c r="N1072" s="405"/>
      <c r="O1072" s="541"/>
      <c r="P1072" s="405"/>
      <c r="Q1072" s="405"/>
      <c r="S1072" s="344" t="str">
        <f t="shared" si="122"/>
        <v>ESCAVAÇÃO MECANIZADA DE VALA COM PROF. ATÉ 1,5 M (MÉDIA ENTRE MONTANTE E JUSANTE/UMA COMPOSIÇÃO POR TRECHO), COM ESCAVADEIRA HIDRÁULICA (0,8M3/111 HP), LARG. DE 1,5 M A 2,5 M, EM SOLO DE 1A CATEGORIA, EM LOCAIS COM ALTO NÍVEL DE INTERFERÊNCIA. AF_01/2015</v>
      </c>
    </row>
    <row r="1073" spans="1:19" s="344" customFormat="1" ht="38.25">
      <c r="A1073" s="49" t="s">
        <v>1283</v>
      </c>
      <c r="B1073" s="49">
        <f>'[3]Plan Tron'!B151</f>
        <v>90084</v>
      </c>
      <c r="C1073" s="49" t="str">
        <f>'[3]Plan Tron'!C151</f>
        <v>SINAPI</v>
      </c>
      <c r="D1073" s="26" t="str">
        <f>'[3]Plan Tron'!D151</f>
        <v>ESCAVAÇÃO MECANIZADA DE VALA COM PROF. MAIOR QUE 1,5 M ATÉ 3,0 M (MÉDIA ENTRE MONTANTE E JUSANTE/UMA COMPOSIÇÃO POR TRECHO), COM ESCAVADEIRA HIDRÁULICA (0,8 M3/111 HP), LARGURA ATÉ 1,5 M, EM SOLO DE 1A CATEGORIA, EM LOCAIS COM ALTO NÍVEL DE INTERFERÊNCIA. AF_01/2015</v>
      </c>
      <c r="E1073" s="77" t="str">
        <f>'[3]Plan Tron'!E151</f>
        <v>M³</v>
      </c>
      <c r="F1073" s="21">
        <v>66.19</v>
      </c>
      <c r="G1073" s="148">
        <v>11.73</v>
      </c>
      <c r="H1073" s="148">
        <f>'[3]Plan Tron'!F151</f>
        <v>11.27</v>
      </c>
      <c r="I1073" s="148">
        <v>26.44</v>
      </c>
      <c r="J1073" s="148">
        <f t="shared" ref="J1073:J1080" si="127">ROUND(H1073*(I1073/100+1),2)</f>
        <v>14.25</v>
      </c>
      <c r="K1073" s="383">
        <v>0</v>
      </c>
      <c r="L1073" s="474">
        <f>F1073-K1073</f>
        <v>66.19</v>
      </c>
      <c r="M1073" s="471">
        <f t="shared" si="124"/>
        <v>943.21</v>
      </c>
      <c r="N1073" s="405"/>
      <c r="O1073" s="541"/>
      <c r="P1073" s="405"/>
      <c r="Q1073" s="405"/>
      <c r="S1073" s="344" t="str">
        <f t="shared" si="122"/>
        <v>ESCAVAÇÃO MECANIZADA DE VALA COM PROF. MAIOR QUE 1,5 M ATÉ 3,0 M (MÉDIA ENTRE MONTANTE E JUSANTE/UMA COMPOSIÇÃO POR TRECHO), COM ESCAVADEIRA HIDRÁULICA (0,8 M3/111 HP), LARGURA ATÉ 1,5 M, EM SOLO DE 1A CATEGORIA, EM LOCAIS COM ALTO NÍVEL DE INTERFERÊNCIA. AF_01/2015</v>
      </c>
    </row>
    <row r="1074" spans="1:19" s="344" customFormat="1" ht="38.25">
      <c r="A1074" s="49" t="s">
        <v>1282</v>
      </c>
      <c r="B1074" s="49">
        <f>'[3]Plan Tron'!B152</f>
        <v>90086</v>
      </c>
      <c r="C1074" s="49" t="str">
        <f>'[3]Plan Tron'!C152</f>
        <v>SINAPI</v>
      </c>
      <c r="D1074" s="26" t="str">
        <f>'[3]Plan Tron'!D152</f>
        <v>ESCAVAÇÃO MECANIZADA DE VALA COM PROF. MAIOR QUE 3,0 M ATÉ 4,5 M(MÉDIA ENTRE MONTANTE E JUSANTE/UMA COMPOSIÇÃO POR TRECHO), COM ESCAVADEIRA HIDRÁULICA (0,8 M3/111 HP), LARG. MENOR QUE 1,5 M, EM SOLO DE 1A CATEGORIA, EM LOCAIS COM ALTO NÍVEL DE INTERFERÊNCIA. AF_01/2015</v>
      </c>
      <c r="E1074" s="77" t="str">
        <f>'[3]Plan Tron'!E152</f>
        <v>M³</v>
      </c>
      <c r="F1074" s="21">
        <v>66.19</v>
      </c>
      <c r="G1074" s="148">
        <f>G52</f>
        <v>11.73</v>
      </c>
      <c r="H1074" s="148">
        <f>'[3]Plan Tron'!F152</f>
        <v>8.6999999999999993</v>
      </c>
      <c r="I1074" s="148">
        <v>26.44</v>
      </c>
      <c r="J1074" s="148">
        <f t="shared" si="127"/>
        <v>11</v>
      </c>
      <c r="K1074" s="383">
        <v>0</v>
      </c>
      <c r="L1074" s="474">
        <f>F1074-K1074</f>
        <v>66.19</v>
      </c>
      <c r="M1074" s="471">
        <f t="shared" si="124"/>
        <v>728.09</v>
      </c>
      <c r="N1074" s="405"/>
      <c r="O1074" s="541"/>
      <c r="P1074" s="405"/>
      <c r="Q1074" s="405"/>
      <c r="S1074" s="344" t="str">
        <f t="shared" si="122"/>
        <v>ESCAVAÇÃO MECANIZADA DE VALA COM PROF. MAIOR QUE 3,0 M ATÉ 4,5 M(MÉDIA ENTRE MONTANTE E JUSANTE/UMA COMPOSIÇÃO POR TRECHO), COM ESCAVADEIRA HIDRÁULICA (0,8 M3/111 HP), LARG. MENOR QUE 1,5 M, EM SOLO DE 1A CATEGORIA, EM LOCAIS COM ALTO NÍVEL DE INTERFERÊNCIA. AF_01/2015</v>
      </c>
    </row>
    <row r="1075" spans="1:19" s="344" customFormat="1" ht="38.25">
      <c r="A1075" s="49" t="s">
        <v>1281</v>
      </c>
      <c r="B1075" s="49">
        <f>'[3]Plan Tron'!B153</f>
        <v>90088</v>
      </c>
      <c r="C1075" s="49" t="str">
        <f>'[3]Plan Tron'!C153</f>
        <v>SINAPI</v>
      </c>
      <c r="D1075" s="26" t="str">
        <f>'[3]Plan Tron'!D153</f>
        <v>ESCAVAÇÃO MECANIZADA DE VALA COM PROF. MAIOR QUE 4,5 M ATÉ 6,0 M(MÉDIA ENTRE MONTANTE E JUSANTE/UMA COMPOSIÇÃO POR TRECHO), COM ESCAVADEIRA HIDRÁULICA (1,2 M3/155 HP), LARG. MENOR QUE 1,5 M, EM SOLO DE 1A CATEGORIA, EM LOCAIS COM ALTO NÍVEL DE INTERFERÊNCIA. AF_01/2015</v>
      </c>
      <c r="E1075" s="77" t="str">
        <f>'[3]Plan Tron'!E153</f>
        <v>M³</v>
      </c>
      <c r="F1075" s="21">
        <v>22.06</v>
      </c>
      <c r="G1075" s="148">
        <v>16.88</v>
      </c>
      <c r="H1075" s="148">
        <f>'[3]Plan Tron'!F153</f>
        <v>5.85</v>
      </c>
      <c r="I1075" s="148">
        <v>26.44</v>
      </c>
      <c r="J1075" s="148">
        <f t="shared" si="127"/>
        <v>7.4</v>
      </c>
      <c r="K1075" s="383">
        <v>0</v>
      </c>
      <c r="L1075" s="474">
        <f>F1075-K1075</f>
        <v>22.06</v>
      </c>
      <c r="M1075" s="471">
        <f t="shared" si="124"/>
        <v>163.24</v>
      </c>
      <c r="N1075" s="405"/>
      <c r="O1075" s="541"/>
      <c r="P1075" s="405"/>
      <c r="Q1075" s="405"/>
      <c r="S1075" s="344" t="str">
        <f t="shared" si="122"/>
        <v>ESCAVAÇÃO MECANIZADA DE VALA COM PROF. MAIOR QUE 4,5 M ATÉ 6,0 M(MÉDIA ENTRE MONTANTE E JUSANTE/UMA COMPOSIÇÃO POR TRECHO), COM ESCAVADEIRA HIDRÁULICA (1,2 M3/155 HP), LARG. MENOR QUE 1,5 M, EM SOLO DE 1A CATEGORIA, EM LOCAIS COM ALTO NÍVEL DE INTERFERÊNCIA. AF_01/2015</v>
      </c>
    </row>
    <row r="1076" spans="1:19" s="414" customFormat="1">
      <c r="A1076" s="410" t="s">
        <v>19</v>
      </c>
      <c r="B1076" s="411"/>
      <c r="C1076" s="410"/>
      <c r="D1076" s="613" t="s">
        <v>2244</v>
      </c>
      <c r="E1076" s="424"/>
      <c r="F1076" s="422"/>
      <c r="G1076" s="671"/>
      <c r="H1076" s="671"/>
      <c r="I1076" s="671"/>
      <c r="J1076" s="148"/>
      <c r="K1076" s="498"/>
      <c r="L1076" s="474"/>
      <c r="M1076" s="471"/>
      <c r="N1076" s="419"/>
      <c r="O1076" s="541"/>
      <c r="P1076" s="419"/>
      <c r="Q1076" s="419"/>
      <c r="S1076" s="414" t="str">
        <f t="shared" si="122"/>
        <v>CARGA,  DESCARGA E/ OU  TRANSPORTE  DE  MATERIAIS</v>
      </c>
    </row>
    <row r="1077" spans="1:19" s="344" customFormat="1">
      <c r="A1077" s="49" t="s">
        <v>147</v>
      </c>
      <c r="B1077" s="49">
        <f>'[3]Plan Tron'!B13</f>
        <v>72885</v>
      </c>
      <c r="C1077" s="49" t="str">
        <f>'[3]Plan Tron'!C13</f>
        <v>SINAPI</v>
      </c>
      <c r="D1077" s="26" t="str">
        <f>'[3]Plan Tron'!D13</f>
        <v>TRANSPORTE COMERCIAL COM CAMINHAO BASCULANTE 6 M3, RODOVIA EM LEITO NATURAL</v>
      </c>
      <c r="E1077" s="77" t="str">
        <f>'[3]Plan Tron'!E13</f>
        <v>M³ X KM</v>
      </c>
      <c r="F1077" s="21">
        <v>6891.97</v>
      </c>
      <c r="G1077" s="148">
        <v>1.29</v>
      </c>
      <c r="H1077" s="148">
        <f>'[3]Plan Tron'!F13</f>
        <v>1.37</v>
      </c>
      <c r="I1077" s="148">
        <v>26.44</v>
      </c>
      <c r="J1077" s="148">
        <f t="shared" si="127"/>
        <v>1.73</v>
      </c>
      <c r="K1077" s="383">
        <v>0</v>
      </c>
      <c r="L1077" s="474">
        <f>F1077-K1077</f>
        <v>6891.97</v>
      </c>
      <c r="M1077" s="471">
        <f t="shared" si="124"/>
        <v>11923.11</v>
      </c>
      <c r="N1077" s="405"/>
      <c r="O1077" s="541"/>
      <c r="P1077" s="405"/>
      <c r="Q1077" s="405"/>
      <c r="S1077" s="344" t="str">
        <f t="shared" si="122"/>
        <v>TRANSPORTE COMERCIAL COM CAMINHAO BASCULANTE 6 M3, RODOVIA EM LEITO NATURAL</v>
      </c>
    </row>
    <row r="1078" spans="1:19" s="344" customFormat="1" ht="25.5">
      <c r="A1078" s="49" t="s">
        <v>213</v>
      </c>
      <c r="B1078" s="49">
        <f>'[3]Plan Tron'!B14</f>
        <v>72888</v>
      </c>
      <c r="C1078" s="49" t="str">
        <f>'[3]Plan Tron'!C14</f>
        <v>SINAPI</v>
      </c>
      <c r="D1078" s="26" t="str">
        <f>'[3]Plan Tron'!D14</f>
        <v>CARGA, MANOBRAS E DESCARGA DE AREIA, BRITA, PEDRA DE MAO E SOLOS COM CAMINHAO BASCULANTE 6 M3 (DESCARGA LIVRE)</v>
      </c>
      <c r="E1078" s="77" t="str">
        <f>'[3]Plan Tron'!E14</f>
        <v>M³</v>
      </c>
      <c r="F1078" s="21">
        <v>1378.39</v>
      </c>
      <c r="G1078" s="148">
        <v>0.81</v>
      </c>
      <c r="H1078" s="148">
        <f>'[3]Plan Tron'!F14</f>
        <v>0.96</v>
      </c>
      <c r="I1078" s="148">
        <v>26.44</v>
      </c>
      <c r="J1078" s="148">
        <f t="shared" si="127"/>
        <v>1.21</v>
      </c>
      <c r="K1078" s="383">
        <v>0</v>
      </c>
      <c r="L1078" s="474">
        <f>F1078-K1078</f>
        <v>1378.39</v>
      </c>
      <c r="M1078" s="471">
        <f t="shared" si="124"/>
        <v>1667.85</v>
      </c>
      <c r="N1078" s="405"/>
      <c r="O1078" s="541"/>
      <c r="P1078" s="405"/>
      <c r="Q1078" s="405"/>
      <c r="S1078" s="344" t="str">
        <f t="shared" si="122"/>
        <v>CARGA, MANOBRAS E DESCARGA DE AREIA, BRITA, PEDRA DE MAO E SOLOS COM CAMINHAO BASCULANTE 6 M3 (DESCARGA LIVRE)</v>
      </c>
    </row>
    <row r="1079" spans="1:19" s="414" customFormat="1">
      <c r="A1079" s="410" t="s">
        <v>18</v>
      </c>
      <c r="B1079" s="411"/>
      <c r="C1079" s="410"/>
      <c r="D1079" s="613" t="s">
        <v>2100</v>
      </c>
      <c r="E1079" s="424"/>
      <c r="F1079" s="422"/>
      <c r="G1079" s="671"/>
      <c r="H1079" s="671"/>
      <c r="I1079" s="671"/>
      <c r="J1079" s="148"/>
      <c r="K1079" s="498"/>
      <c r="L1079" s="474"/>
      <c r="M1079" s="471"/>
      <c r="N1079" s="419"/>
      <c r="O1079" s="541"/>
      <c r="P1079" s="419"/>
      <c r="Q1079" s="419"/>
      <c r="S1079" s="414" t="str">
        <f t="shared" si="122"/>
        <v>COMPACTAÇÃO OU APILOAMENTO</v>
      </c>
    </row>
    <row r="1080" spans="1:19" s="344" customFormat="1" ht="25.5">
      <c r="A1080" s="49" t="s">
        <v>201</v>
      </c>
      <c r="B1080" s="49">
        <f>'[3]Plan Tron'!B89</f>
        <v>94098</v>
      </c>
      <c r="C1080" s="49" t="str">
        <f>'[3]Plan Tron'!C89</f>
        <v>SINAPI</v>
      </c>
      <c r="D1080" s="26" t="str">
        <f>'[3]Plan Tron'!D89</f>
        <v>PREPARO DE FUNDO DE VALA COM LARGURA MENOR QUE 1,5 M, EM LOCAL COM NÍVEL ALTO DE INTERFERÊNCIA. AF_06/2016</v>
      </c>
      <c r="E1080" s="77" t="str">
        <f>'[3]Plan Tron'!E89</f>
        <v>M²</v>
      </c>
      <c r="F1080" s="21">
        <v>88.25</v>
      </c>
      <c r="G1080" s="148">
        <v>3.24</v>
      </c>
      <c r="H1080" s="148">
        <f>'[3]Plan Tron'!F89</f>
        <v>5.53</v>
      </c>
      <c r="I1080" s="148">
        <v>26.44</v>
      </c>
      <c r="J1080" s="148">
        <f t="shared" si="127"/>
        <v>6.99</v>
      </c>
      <c r="K1080" s="383">
        <v>0</v>
      </c>
      <c r="L1080" s="474">
        <f>F1080-K1080</f>
        <v>88.25</v>
      </c>
      <c r="M1080" s="471">
        <f t="shared" si="124"/>
        <v>616.87</v>
      </c>
      <c r="N1080" s="405"/>
      <c r="O1080" s="541"/>
      <c r="P1080" s="405"/>
      <c r="Q1080" s="405"/>
      <c r="S1080" s="344" t="str">
        <f t="shared" si="122"/>
        <v>PREPARO DE FUNDO DE VALA COM LARGURA MENOR QUE 1,5 M, EM LOCAL COM NÍVEL ALTO DE INTERFERÊNCIA. AF_06/2016</v>
      </c>
    </row>
    <row r="1081" spans="1:19">
      <c r="A1081" s="149"/>
      <c r="B1081" s="150"/>
      <c r="C1081" s="149"/>
      <c r="D1081" s="464"/>
      <c r="E1081" s="151"/>
      <c r="F1081" s="147"/>
      <c r="G1081" s="325"/>
      <c r="H1081" s="148"/>
      <c r="I1081" s="148"/>
      <c r="J1081" s="148"/>
      <c r="K1081" s="464"/>
      <c r="L1081" s="474"/>
      <c r="M1081" s="471"/>
      <c r="N1081" s="405"/>
      <c r="O1081" s="541"/>
      <c r="P1081" s="405"/>
      <c r="Q1081" s="405"/>
    </row>
    <row r="1082" spans="1:19">
      <c r="A1082" s="149"/>
      <c r="B1082" s="150"/>
      <c r="C1082" s="149"/>
      <c r="D1082" s="401" t="s">
        <v>76</v>
      </c>
      <c r="E1082" s="151"/>
      <c r="F1082" s="147"/>
      <c r="G1082" s="325"/>
      <c r="H1082" s="148"/>
      <c r="I1082" s="148"/>
      <c r="J1082" s="148"/>
      <c r="K1082" s="383"/>
      <c r="L1082" s="474"/>
      <c r="M1082" s="471"/>
      <c r="N1082" s="405"/>
      <c r="O1082" s="541"/>
      <c r="P1082" s="405"/>
      <c r="Q1082" s="405"/>
      <c r="S1082" s="344" t="str">
        <f>UPPER(D1082)</f>
        <v/>
      </c>
    </row>
    <row r="1083" spans="1:19">
      <c r="A1083" s="152">
        <v>2</v>
      </c>
      <c r="B1083" s="153"/>
      <c r="C1083" s="152"/>
      <c r="D1083" s="52" t="s">
        <v>2245</v>
      </c>
      <c r="E1083" s="154"/>
      <c r="F1083" s="148"/>
      <c r="G1083" s="148"/>
      <c r="H1083" s="148"/>
      <c r="I1083" s="148"/>
      <c r="J1083" s="148"/>
      <c r="K1083" s="383"/>
      <c r="L1083" s="474"/>
      <c r="M1083" s="471"/>
      <c r="N1083" s="405"/>
      <c r="O1083" s="541"/>
      <c r="P1083" s="405"/>
      <c r="Q1083" s="405"/>
      <c r="S1083" s="344" t="str">
        <f>UPPER(D1083)</f>
        <v>DRENAGEM</v>
      </c>
    </row>
    <row r="1084" spans="1:19" s="344" customFormat="1">
      <c r="A1084" s="49" t="s">
        <v>9</v>
      </c>
      <c r="B1084" s="10" t="s">
        <v>1898</v>
      </c>
      <c r="C1084" s="49"/>
      <c r="D1084" s="26" t="s">
        <v>2246</v>
      </c>
      <c r="E1084" s="24" t="s">
        <v>2341</v>
      </c>
      <c r="F1084" s="21">
        <v>1</v>
      </c>
      <c r="G1084" s="148">
        <v>259720</v>
      </c>
      <c r="H1084" s="9">
        <f t="shared" ref="H1084" si="128">G1084*$P$7</f>
        <v>300054.516</v>
      </c>
      <c r="I1084" s="148">
        <v>26.44</v>
      </c>
      <c r="J1084" s="148">
        <f>ROUND(H1084*(I1084/100+1),2)</f>
        <v>379388.93</v>
      </c>
      <c r="K1084" s="383">
        <v>0</v>
      </c>
      <c r="L1084" s="474">
        <f>F1084-K1084</f>
        <v>1</v>
      </c>
      <c r="M1084" s="471">
        <f t="shared" si="124"/>
        <v>379388.93</v>
      </c>
      <c r="N1084" s="405"/>
      <c r="O1084" s="541"/>
      <c r="P1084" s="405"/>
      <c r="Q1084" s="405"/>
      <c r="S1084" s="344" t="str">
        <f>UPPER(D1084)</f>
        <v xml:space="preserve">REBAIXAMENTO  DO LENÇOL FREÁTICO ATRAVÉS DE POÇOS PROFUNDOS OU PONTEIRAS FILTRANTES. </v>
      </c>
    </row>
    <row r="1085" spans="1:19">
      <c r="A1085" s="155"/>
      <c r="B1085" s="153"/>
      <c r="C1085" s="155"/>
      <c r="D1085" s="465"/>
      <c r="E1085" s="154"/>
      <c r="F1085" s="148"/>
      <c r="G1085" s="148"/>
      <c r="H1085" s="148"/>
      <c r="I1085" s="148"/>
      <c r="J1085" s="148"/>
      <c r="K1085" s="465"/>
      <c r="L1085" s="474"/>
      <c r="M1085" s="471"/>
      <c r="N1085" s="405"/>
      <c r="O1085" s="541"/>
      <c r="P1085" s="405"/>
      <c r="Q1085" s="405"/>
    </row>
    <row r="1086" spans="1:19">
      <c r="A1086" s="155"/>
      <c r="B1086" s="153"/>
      <c r="C1086" s="155"/>
      <c r="D1086" s="402" t="s">
        <v>76</v>
      </c>
      <c r="E1086" s="154"/>
      <c r="F1086" s="148"/>
      <c r="G1086" s="148"/>
      <c r="H1086" s="148"/>
      <c r="I1086" s="148"/>
      <c r="J1086" s="148"/>
      <c r="K1086" s="383"/>
      <c r="L1086" s="474"/>
      <c r="M1086" s="471"/>
      <c r="N1086" s="405"/>
      <c r="O1086" s="541"/>
      <c r="P1086" s="405"/>
      <c r="Q1086" s="405"/>
      <c r="S1086" s="344" t="str">
        <f t="shared" ref="S1086:S1108" si="129">UPPER(D1086)</f>
        <v/>
      </c>
    </row>
    <row r="1087" spans="1:19" s="344" customFormat="1">
      <c r="A1087" s="152">
        <v>3</v>
      </c>
      <c r="B1087" s="156"/>
      <c r="C1087" s="152"/>
      <c r="D1087" s="397" t="s">
        <v>2054</v>
      </c>
      <c r="E1087" s="154"/>
      <c r="F1087" s="148"/>
      <c r="G1087" s="148"/>
      <c r="H1087" s="148"/>
      <c r="I1087" s="148"/>
      <c r="J1087" s="148"/>
      <c r="K1087" s="383"/>
      <c r="L1087" s="474"/>
      <c r="M1087" s="471"/>
      <c r="N1087" s="405"/>
      <c r="O1087" s="541"/>
      <c r="P1087" s="405"/>
      <c r="Q1087" s="405"/>
      <c r="S1087" s="344" t="str">
        <f t="shared" si="129"/>
        <v>FUNDAÇÕES E ESTRUTURAS</v>
      </c>
    </row>
    <row r="1088" spans="1:19" s="414" customFormat="1">
      <c r="A1088" s="410" t="s">
        <v>9</v>
      </c>
      <c r="B1088" s="636"/>
      <c r="C1088" s="410"/>
      <c r="D1088" s="692" t="s">
        <v>2055</v>
      </c>
      <c r="E1088" s="630"/>
      <c r="F1088" s="671"/>
      <c r="G1088" s="671"/>
      <c r="H1088" s="671"/>
      <c r="I1088" s="671"/>
      <c r="J1088" s="671"/>
      <c r="K1088" s="498"/>
      <c r="L1088" s="474"/>
      <c r="M1088" s="471"/>
      <c r="N1088" s="419"/>
      <c r="O1088" s="541"/>
      <c r="P1088" s="419"/>
      <c r="Q1088" s="419"/>
      <c r="S1088" s="414" t="str">
        <f t="shared" si="129"/>
        <v>LASTROS / FUNDAÇÕES DIRETAS</v>
      </c>
    </row>
    <row r="1089" spans="1:19" s="414" customFormat="1">
      <c r="A1089" s="410" t="s">
        <v>1280</v>
      </c>
      <c r="B1089" s="673"/>
      <c r="C1089" s="410"/>
      <c r="D1089" s="693" t="s">
        <v>2056</v>
      </c>
      <c r="E1089" s="424"/>
      <c r="F1089" s="422"/>
      <c r="G1089" s="671"/>
      <c r="H1089" s="671"/>
      <c r="I1089" s="671"/>
      <c r="J1089" s="671"/>
      <c r="K1089" s="498"/>
      <c r="L1089" s="474"/>
      <c r="M1089" s="471"/>
      <c r="N1089" s="419"/>
      <c r="O1089" s="541"/>
      <c r="P1089" s="419"/>
      <c r="Q1089" s="419"/>
      <c r="S1089" s="414" t="str">
        <f t="shared" si="129"/>
        <v>LASTRO DE PEDRA BRITADA E FUNDAÇÕES EM BALDRAME.</v>
      </c>
    </row>
    <row r="1090" spans="1:19" s="344" customFormat="1">
      <c r="A1090" s="49" t="s">
        <v>417</v>
      </c>
      <c r="B1090" s="49">
        <f>'[3]Plan Tron'!B18</f>
        <v>6514</v>
      </c>
      <c r="C1090" s="49" t="str">
        <f>'[3]Plan Tron'!C18</f>
        <v>SINAPI</v>
      </c>
      <c r="D1090" s="142" t="str">
        <f>'[3]Plan Tron'!D18</f>
        <v xml:space="preserve">FORNECIMENTO E LANCAMENTO DE BRITA N. 4 </v>
      </c>
      <c r="E1090" s="77" t="str">
        <f>'[3]Plan Tron'!E18</f>
        <v>M³</v>
      </c>
      <c r="F1090" s="21">
        <v>8.9700000000000006</v>
      </c>
      <c r="G1090" s="148">
        <f>G78</f>
        <v>74.28</v>
      </c>
      <c r="H1090" s="148">
        <f>'[3]Plan Tron'!F18</f>
        <v>88.38</v>
      </c>
      <c r="I1090" s="148">
        <v>26.44</v>
      </c>
      <c r="J1090" s="148">
        <f>ROUND(H1090*(I1090/100+1),2)</f>
        <v>111.75</v>
      </c>
      <c r="K1090" s="383">
        <v>0</v>
      </c>
      <c r="L1090" s="474">
        <f>F1090-K1090</f>
        <v>8.9700000000000006</v>
      </c>
      <c r="M1090" s="471">
        <f t="shared" si="124"/>
        <v>1002.4</v>
      </c>
      <c r="N1090" s="405"/>
      <c r="O1090" s="541"/>
      <c r="P1090" s="405"/>
      <c r="Q1090" s="405"/>
      <c r="S1090" s="344" t="str">
        <f t="shared" si="129"/>
        <v xml:space="preserve">FORNECIMENTO E LANCAMENTO DE BRITA N. 4 </v>
      </c>
    </row>
    <row r="1091" spans="1:19" s="414" customFormat="1">
      <c r="A1091" s="410" t="s">
        <v>142</v>
      </c>
      <c r="B1091" s="646"/>
      <c r="C1091" s="410"/>
      <c r="D1091" s="694" t="s">
        <v>2058</v>
      </c>
      <c r="E1091" s="648"/>
      <c r="F1091" s="422"/>
      <c r="G1091" s="671"/>
      <c r="H1091" s="671"/>
      <c r="I1091" s="671"/>
      <c r="J1091" s="148"/>
      <c r="K1091" s="498"/>
      <c r="L1091" s="474"/>
      <c r="M1091" s="471"/>
      <c r="N1091" s="419"/>
      <c r="O1091" s="541"/>
      <c r="P1091" s="419"/>
      <c r="Q1091" s="419"/>
      <c r="S1091" s="414" t="str">
        <f t="shared" si="129"/>
        <v>FORMAS / CIMBRAMENTOS / ESCORAMENTOS</v>
      </c>
    </row>
    <row r="1092" spans="1:19" s="344" customFormat="1">
      <c r="A1092" s="49" t="s">
        <v>141</v>
      </c>
      <c r="B1092" s="49">
        <f>'[3]Plan Tron'!B20</f>
        <v>5651</v>
      </c>
      <c r="C1092" s="49" t="str">
        <f>'[3]Plan Tron'!C20</f>
        <v>SINAPI</v>
      </c>
      <c r="D1092" s="31" t="str">
        <f>'[3]Plan Tron'!D20</f>
        <v>FORMA DE MADEIRA COMUM PARA FUNDAÇÕES - REAPROVEITAMENTO 5X.</v>
      </c>
      <c r="E1092" s="675" t="str">
        <f>'[3]Plan Tron'!E20</f>
        <v>M²</v>
      </c>
      <c r="F1092" s="21">
        <v>229.36</v>
      </c>
      <c r="G1092" s="148">
        <v>38.69</v>
      </c>
      <c r="H1092" s="148">
        <f>'[3]Plan Tron'!F20</f>
        <v>29.01</v>
      </c>
      <c r="I1092" s="148">
        <v>26.44</v>
      </c>
      <c r="J1092" s="148">
        <f t="shared" ref="J1092:J1095" si="130">ROUND(H1092*(I1092/100+1),2)</f>
        <v>36.68</v>
      </c>
      <c r="K1092" s="383">
        <v>0</v>
      </c>
      <c r="L1092" s="474">
        <f>F1092-K1092</f>
        <v>229.36</v>
      </c>
      <c r="M1092" s="471">
        <f t="shared" si="124"/>
        <v>8412.92</v>
      </c>
      <c r="N1092" s="405"/>
      <c r="O1092" s="541"/>
      <c r="P1092" s="405"/>
      <c r="Q1092" s="405"/>
      <c r="S1092" s="344" t="str">
        <f t="shared" si="129"/>
        <v>FORMA DE MADEIRA COMUM PARA FUNDAÇÕES - REAPROVEITAMENTO 5X.</v>
      </c>
    </row>
    <row r="1093" spans="1:19" s="414" customFormat="1">
      <c r="A1093" s="410" t="s">
        <v>662</v>
      </c>
      <c r="B1093" s="646"/>
      <c r="C1093" s="410"/>
      <c r="D1093" s="695" t="s">
        <v>2234</v>
      </c>
      <c r="E1093" s="676"/>
      <c r="F1093" s="422"/>
      <c r="G1093" s="671"/>
      <c r="H1093" s="671"/>
      <c r="I1093" s="671"/>
      <c r="J1093" s="148"/>
      <c r="K1093" s="498"/>
      <c r="L1093" s="474"/>
      <c r="M1093" s="471"/>
      <c r="N1093" s="419"/>
      <c r="O1093" s="541"/>
      <c r="P1093" s="419"/>
      <c r="Q1093" s="419"/>
      <c r="S1093" s="414" t="str">
        <f t="shared" si="129"/>
        <v>FORMA PARA VIGA, PILAR E PAREDE</v>
      </c>
    </row>
    <row r="1094" spans="1:19" s="344" customFormat="1">
      <c r="A1094" s="49" t="s">
        <v>1279</v>
      </c>
      <c r="B1094" s="49" t="str">
        <f>'[3]Plan Tron'!B65</f>
        <v xml:space="preserve">090206 </v>
      </c>
      <c r="C1094" s="49" t="str">
        <f>'[3]Plan Tron'!C65</f>
        <v>CPOS</v>
      </c>
      <c r="D1094" s="696" t="str">
        <f>'[3]Plan Tron'!D65</f>
        <v xml:space="preserve">FORMA CURVA EM COMPENSADO PARA ESTRUTURA APARENTE </v>
      </c>
      <c r="E1094" s="34" t="str">
        <f>'[3]Plan Tron'!E65</f>
        <v>M²</v>
      </c>
      <c r="F1094" s="21">
        <v>77.510000000000005</v>
      </c>
      <c r="G1094" s="148">
        <v>84.77</v>
      </c>
      <c r="H1094" s="148">
        <f>'[3]Plan Tron'!F65</f>
        <v>107.03</v>
      </c>
      <c r="I1094" s="148">
        <v>26.44</v>
      </c>
      <c r="J1094" s="148">
        <f t="shared" si="130"/>
        <v>135.33000000000001</v>
      </c>
      <c r="K1094" s="383">
        <v>0</v>
      </c>
      <c r="L1094" s="474">
        <f>F1094-K1094</f>
        <v>77.510000000000005</v>
      </c>
      <c r="M1094" s="471">
        <f t="shared" si="124"/>
        <v>10489.43</v>
      </c>
      <c r="N1094" s="405"/>
      <c r="O1094" s="541"/>
      <c r="P1094" s="405"/>
      <c r="Q1094" s="405"/>
      <c r="S1094" s="344" t="str">
        <f t="shared" si="129"/>
        <v xml:space="preserve">FORMA CURVA EM COMPENSADO PARA ESTRUTURA APARENTE </v>
      </c>
    </row>
    <row r="1095" spans="1:19" s="344" customFormat="1">
      <c r="A1095" s="49" t="s">
        <v>659</v>
      </c>
      <c r="B1095" s="49" t="str">
        <f>'[3]Plan Tron'!B66</f>
        <v xml:space="preserve">080202 </v>
      </c>
      <c r="C1095" s="49" t="str">
        <f>'[3]Plan Tron'!C66</f>
        <v>CPOS</v>
      </c>
      <c r="D1095" s="696" t="str">
        <f>'[3]Plan Tron'!D66</f>
        <v>CIMBRAMENTO EM MADEIRA COM ESTRONCAS DE EUCALIPTO</v>
      </c>
      <c r="E1095" s="34" t="str">
        <f>'[3]Plan Tron'!E66</f>
        <v>M³</v>
      </c>
      <c r="F1095" s="21">
        <v>55.22</v>
      </c>
      <c r="G1095" s="148">
        <v>25.02</v>
      </c>
      <c r="H1095" s="148">
        <f>'[3]Plan Tron'!F66</f>
        <v>27.46</v>
      </c>
      <c r="I1095" s="148">
        <v>26.44</v>
      </c>
      <c r="J1095" s="148">
        <f t="shared" si="130"/>
        <v>34.72</v>
      </c>
      <c r="K1095" s="383">
        <v>0</v>
      </c>
      <c r="L1095" s="474">
        <f>F1095-K1095</f>
        <v>55.22</v>
      </c>
      <c r="M1095" s="471">
        <f t="shared" si="124"/>
        <v>1917.24</v>
      </c>
      <c r="N1095" s="405"/>
      <c r="O1095" s="541"/>
      <c r="P1095" s="405"/>
      <c r="Q1095" s="405"/>
      <c r="S1095" s="344" t="str">
        <f t="shared" si="129"/>
        <v>CIMBRAMENTO EM MADEIRA COM ESTRONCAS DE EUCALIPTO</v>
      </c>
    </row>
    <row r="1096" spans="1:19" s="414" customFormat="1">
      <c r="A1096" s="410" t="s">
        <v>414</v>
      </c>
      <c r="B1096" s="673"/>
      <c r="C1096" s="410"/>
      <c r="D1096" s="693" t="s">
        <v>2059</v>
      </c>
      <c r="E1096" s="638"/>
      <c r="F1096" s="677"/>
      <c r="G1096" s="671"/>
      <c r="H1096" s="671"/>
      <c r="I1096" s="671"/>
      <c r="J1096" s="671"/>
      <c r="K1096" s="498"/>
      <c r="L1096" s="474"/>
      <c r="M1096" s="471"/>
      <c r="N1096" s="419"/>
      <c r="O1096" s="541"/>
      <c r="P1096" s="419"/>
      <c r="Q1096" s="419"/>
      <c r="S1096" s="414" t="str">
        <f t="shared" si="129"/>
        <v>ARMADURAS</v>
      </c>
    </row>
    <row r="1097" spans="1:19" s="414" customFormat="1">
      <c r="A1097" s="410" t="s">
        <v>413</v>
      </c>
      <c r="B1097" s="411"/>
      <c r="C1097" s="410"/>
      <c r="D1097" s="690" t="s">
        <v>2171</v>
      </c>
      <c r="E1097" s="617"/>
      <c r="F1097" s="618"/>
      <c r="G1097" s="671"/>
      <c r="H1097" s="671"/>
      <c r="I1097" s="671"/>
      <c r="J1097" s="671"/>
      <c r="K1097" s="498"/>
      <c r="L1097" s="474"/>
      <c r="M1097" s="471"/>
      <c r="N1097" s="419"/>
      <c r="O1097" s="541"/>
      <c r="P1097" s="419"/>
      <c r="Q1097" s="419"/>
      <c r="S1097" s="414" t="str">
        <f t="shared" si="129"/>
        <v>ARMAÇÃO EM TELA SOLDADA</v>
      </c>
    </row>
    <row r="1098" spans="1:19" s="344" customFormat="1">
      <c r="A1098" s="49" t="s">
        <v>412</v>
      </c>
      <c r="B1098" s="49" t="str">
        <f>'[3]Plan Tron'!B106</f>
        <v xml:space="preserve">73994/001 </v>
      </c>
      <c r="C1098" s="49" t="str">
        <f>'[3]Plan Tron'!C106</f>
        <v>SINAPI</v>
      </c>
      <c r="D1098" s="612" t="str">
        <f>'[3]Plan Tron'!D106</f>
        <v>ARMACAO EM TELA DE ACO SOLDADA NERVURADA Q-138, ACO CA-60, 4,2MM, MALHA 10X10CM</v>
      </c>
      <c r="E1098" s="49" t="str">
        <f>'[3]Plan Tron'!E106</f>
        <v>KG</v>
      </c>
      <c r="F1098" s="120">
        <v>7578</v>
      </c>
      <c r="G1098" s="148">
        <v>11.13</v>
      </c>
      <c r="H1098" s="148">
        <f>'[3]Plan Tron'!F106</f>
        <v>5.97</v>
      </c>
      <c r="I1098" s="148">
        <v>26.44</v>
      </c>
      <c r="J1098" s="148">
        <f>ROUND(H1098*(I1098/100+1),2)</f>
        <v>7.55</v>
      </c>
      <c r="K1098" s="383">
        <v>0</v>
      </c>
      <c r="L1098" s="474">
        <f>F1098-K1098</f>
        <v>7578</v>
      </c>
      <c r="M1098" s="471">
        <f t="shared" si="124"/>
        <v>57213.9</v>
      </c>
      <c r="N1098" s="405"/>
      <c r="O1098" s="541"/>
      <c r="P1098" s="405"/>
      <c r="Q1098" s="405"/>
      <c r="S1098" s="344" t="str">
        <f t="shared" si="129"/>
        <v>ARMACAO EM TELA DE ACO SOLDADA NERVURADA Q-138, ACO CA-60, 4,2MM, MALHA 10X10CM</v>
      </c>
    </row>
    <row r="1099" spans="1:19" s="414" customFormat="1">
      <c r="A1099" s="410" t="s">
        <v>619</v>
      </c>
      <c r="B1099" s="673"/>
      <c r="C1099" s="410"/>
      <c r="D1099" s="693" t="s">
        <v>2060</v>
      </c>
      <c r="E1099" s="638"/>
      <c r="F1099" s="679"/>
      <c r="G1099" s="671"/>
      <c r="H1099" s="671"/>
      <c r="I1099" s="671"/>
      <c r="J1099" s="671"/>
      <c r="K1099" s="498"/>
      <c r="L1099" s="474"/>
      <c r="M1099" s="471"/>
      <c r="N1099" s="419"/>
      <c r="O1099" s="541"/>
      <c r="P1099" s="419"/>
      <c r="Q1099" s="419"/>
      <c r="S1099" s="414" t="str">
        <f t="shared" si="129"/>
        <v>ARMAÇÃO EM AÇO CA-50 PARA ESTRUTURAS DE CONCRETO.</v>
      </c>
    </row>
    <row r="1100" spans="1:19" s="344" customFormat="1" ht="25.5">
      <c r="A1100" s="49" t="s">
        <v>1278</v>
      </c>
      <c r="B1100" s="49">
        <f>'[3]Plan Tron'!B91</f>
        <v>92765</v>
      </c>
      <c r="C1100" s="49" t="str">
        <f>'[3]Plan Tron'!C91</f>
        <v>SINAPI</v>
      </c>
      <c r="D1100" s="142" t="str">
        <f>'[3]Plan Tron'!D91</f>
        <v>ARMAÇÃO DE PILAR OU VIGA DE UMA ESTRUTURA CONVENCIONAL DE CONCRETO ARMADO EM UM EDIFÍCIO DE MÚLTIPLOS PAVIMENTOS UTILIZANDO AÇO CA-50 DE 20.0 MM - MONTAGEM. AF_12/2015</v>
      </c>
      <c r="E1100" s="678" t="str">
        <f>'[3]Plan Tron'!E91</f>
        <v>KG</v>
      </c>
      <c r="F1100" s="120">
        <v>6652</v>
      </c>
      <c r="G1100" s="148">
        <v>6.66</v>
      </c>
      <c r="H1100" s="148">
        <f>'[3]Plan Tron'!F91</f>
        <v>4.32</v>
      </c>
      <c r="I1100" s="148">
        <v>26.44</v>
      </c>
      <c r="J1100" s="148">
        <f>ROUND(H1100*(I1100/100+1),2)</f>
        <v>5.46</v>
      </c>
      <c r="K1100" s="383">
        <v>0</v>
      </c>
      <c r="L1100" s="474">
        <f>F1100-K1100</f>
        <v>6652</v>
      </c>
      <c r="M1100" s="471">
        <f t="shared" si="124"/>
        <v>36319.919999999998</v>
      </c>
      <c r="N1100" s="405"/>
      <c r="O1100" s="541"/>
      <c r="P1100" s="405"/>
      <c r="Q1100" s="405"/>
      <c r="S1100" s="344" t="str">
        <f t="shared" si="129"/>
        <v>ARMAÇÃO DE PILAR OU VIGA DE UMA ESTRUTURA CONVENCIONAL DE CONCRETO ARMADO EM UM EDIFÍCIO DE MÚLTIPLOS PAVIMENTOS UTILIZANDO AÇO CA-50 DE 20.0 MM - MONTAGEM. AF_12/2015</v>
      </c>
    </row>
    <row r="1101" spans="1:19" s="344" customFormat="1" ht="25.5">
      <c r="A1101" s="49" t="s">
        <v>1277</v>
      </c>
      <c r="B1101" s="49">
        <f>'[3]Plan Tron'!B90</f>
        <v>92763</v>
      </c>
      <c r="C1101" s="49" t="str">
        <f>'[3]Plan Tron'!C90</f>
        <v>SINAPI</v>
      </c>
      <c r="D1101" s="142" t="str">
        <f>'[3]Plan Tron'!D90</f>
        <v>ARMAÇÃO DE PILAR OU VIGA DE UMA ESTRUTURA CONVENCIONAL DE CONCRETO ARMADO EM UM EDIFÍCIO DE MÚLTIPLOS PAVIMENTOS UTILIZANDO AÇO CA-50 DE 12.5 MM - MONTAGEM. AF_12/2015</v>
      </c>
      <c r="E1101" s="678" t="str">
        <f>'[3]Plan Tron'!E90</f>
        <v>KG</v>
      </c>
      <c r="F1101" s="120">
        <v>4448.16</v>
      </c>
      <c r="G1101" s="148">
        <f>G85</f>
        <v>5.9</v>
      </c>
      <c r="H1101" s="148">
        <f>'[3]Plan Tron'!F90</f>
        <v>6.29</v>
      </c>
      <c r="I1101" s="148">
        <v>26.44</v>
      </c>
      <c r="J1101" s="148">
        <f t="shared" ref="J1101:J1108" si="131">ROUND(H1101*(I1101/100+1),2)</f>
        <v>7.95</v>
      </c>
      <c r="K1101" s="383">
        <v>0</v>
      </c>
      <c r="L1101" s="474">
        <f>F1101-K1101</f>
        <v>4448.16</v>
      </c>
      <c r="M1101" s="471">
        <f t="shared" si="124"/>
        <v>35362.870000000003</v>
      </c>
      <c r="N1101" s="405"/>
      <c r="O1101" s="541"/>
      <c r="P1101" s="405"/>
      <c r="Q1101" s="405"/>
      <c r="S1101" s="344" t="str">
        <f t="shared" si="129"/>
        <v>ARMAÇÃO DE PILAR OU VIGA DE UMA ESTRUTURA CONVENCIONAL DE CONCRETO ARMADO EM UM EDIFÍCIO DE MÚLTIPLOS PAVIMENTOS UTILIZANDO AÇO CA-50 DE 12.5 MM - MONTAGEM. AF_12/2015</v>
      </c>
    </row>
    <row r="1102" spans="1:19" s="414" customFormat="1">
      <c r="A1102" s="410" t="s">
        <v>560</v>
      </c>
      <c r="B1102" s="646"/>
      <c r="C1102" s="410"/>
      <c r="D1102" s="694" t="s">
        <v>2061</v>
      </c>
      <c r="E1102" s="648"/>
      <c r="F1102" s="422"/>
      <c r="G1102" s="671"/>
      <c r="H1102" s="671"/>
      <c r="I1102" s="671"/>
      <c r="J1102" s="148"/>
      <c r="K1102" s="498"/>
      <c r="L1102" s="474"/>
      <c r="M1102" s="471"/>
      <c r="N1102" s="419"/>
      <c r="O1102" s="541"/>
      <c r="P1102" s="419"/>
      <c r="Q1102" s="419"/>
      <c r="S1102" s="414" t="str">
        <f t="shared" si="129"/>
        <v>CONCRETOS</v>
      </c>
    </row>
    <row r="1103" spans="1:19" s="344" customFormat="1">
      <c r="A1103" s="49" t="s">
        <v>558</v>
      </c>
      <c r="B1103" s="49">
        <f>'[3]Plan Tron'!B22</f>
        <v>110402</v>
      </c>
      <c r="C1103" s="49" t="str">
        <f>'[3]Plan Tron'!C22</f>
        <v>CPOS</v>
      </c>
      <c r="D1103" s="402" t="str">
        <f>UPPER('[3]Plan Tron'!D22)</f>
        <v>CONCRETO NÃO ESTRUTURAL EXECUTADO NO LOCAL, MÍNIMO 150 KG CIMENTO / M³</v>
      </c>
      <c r="E1103" s="675" t="str">
        <f>'[3]Plan Tron'!E22</f>
        <v>M³</v>
      </c>
      <c r="F1103" s="21">
        <v>29.42</v>
      </c>
      <c r="G1103" s="148">
        <v>208.25</v>
      </c>
      <c r="H1103" s="148">
        <f>'[3]Plan Tron'!F22</f>
        <v>208.91</v>
      </c>
      <c r="I1103" s="148">
        <v>26.44</v>
      </c>
      <c r="J1103" s="148">
        <f t="shared" si="131"/>
        <v>264.14999999999998</v>
      </c>
      <c r="K1103" s="383">
        <v>0</v>
      </c>
      <c r="L1103" s="474">
        <f>F1103-K1103</f>
        <v>29.42</v>
      </c>
      <c r="M1103" s="471">
        <f t="shared" si="124"/>
        <v>7771.29</v>
      </c>
      <c r="N1103" s="405"/>
      <c r="O1103" s="541"/>
      <c r="P1103" s="405"/>
      <c r="Q1103" s="405"/>
      <c r="S1103" s="344" t="str">
        <f t="shared" si="129"/>
        <v>CONCRETO NÃO ESTRUTURAL EXECUTADO NO LOCAL, MÍNIMO 150 KG CIMENTO / M³</v>
      </c>
    </row>
    <row r="1104" spans="1:19" s="344" customFormat="1">
      <c r="A1104" s="49" t="s">
        <v>556</v>
      </c>
      <c r="B1104" s="49">
        <f>'[3]Plan Tron'!B23</f>
        <v>110404</v>
      </c>
      <c r="C1104" s="49" t="str">
        <f>'[3]Plan Tron'!C23</f>
        <v>CPOS</v>
      </c>
      <c r="D1104" s="697" t="str">
        <f>UPPER('[3]Plan Tron'!D23)</f>
        <v>CONCRETO NÃO ESTRUTURAL EXECUTADO NO LOCAL, MÍNIMO 200 KG CIMENTO / M³</v>
      </c>
      <c r="E1104" s="675" t="str">
        <f>'[3]Plan Tron'!E23</f>
        <v>M³</v>
      </c>
      <c r="F1104" s="21">
        <v>8.9700000000000006</v>
      </c>
      <c r="G1104" s="148">
        <v>238.25</v>
      </c>
      <c r="H1104" s="148">
        <f>'[3]Plan Tron'!F23</f>
        <v>231.91</v>
      </c>
      <c r="I1104" s="148">
        <v>26.44</v>
      </c>
      <c r="J1104" s="148">
        <f t="shared" si="131"/>
        <v>293.23</v>
      </c>
      <c r="K1104" s="383">
        <v>0</v>
      </c>
      <c r="L1104" s="474">
        <f>F1104-K1104</f>
        <v>8.9700000000000006</v>
      </c>
      <c r="M1104" s="471">
        <f t="shared" si="124"/>
        <v>2630.27</v>
      </c>
      <c r="N1104" s="405"/>
      <c r="O1104" s="541"/>
      <c r="P1104" s="405"/>
      <c r="Q1104" s="405"/>
      <c r="S1104" s="344" t="str">
        <f t="shared" si="129"/>
        <v>CONCRETO NÃO ESTRUTURAL EXECUTADO NO LOCAL, MÍNIMO 200 KG CIMENTO / M³</v>
      </c>
    </row>
    <row r="1105" spans="1:19" s="414" customFormat="1">
      <c r="A1105" s="410" t="s">
        <v>553</v>
      </c>
      <c r="B1105" s="636"/>
      <c r="C1105" s="410"/>
      <c r="D1105" s="692" t="s">
        <v>2236</v>
      </c>
      <c r="E1105" s="627"/>
      <c r="F1105" s="422"/>
      <c r="G1105" s="671"/>
      <c r="H1105" s="671"/>
      <c r="I1105" s="671"/>
      <c r="J1105" s="148"/>
      <c r="K1105" s="498"/>
      <c r="L1105" s="474"/>
      <c r="M1105" s="471"/>
      <c r="N1105" s="419"/>
      <c r="O1105" s="541"/>
      <c r="P1105" s="419"/>
      <c r="Q1105" s="419"/>
      <c r="S1105" s="414" t="str">
        <f t="shared" si="129"/>
        <v>APLICAÇÃO DE CONCRETO PROJETADO</v>
      </c>
    </row>
    <row r="1106" spans="1:19" s="344" customFormat="1">
      <c r="A1106" s="49" t="s">
        <v>1276</v>
      </c>
      <c r="B1106" s="49">
        <f>'[3]Plan Tron'!B162</f>
        <v>110512</v>
      </c>
      <c r="C1106" s="49" t="str">
        <f>'[3]Plan Tron'!C162</f>
        <v>CPOS</v>
      </c>
      <c r="D1106" s="142" t="str">
        <f>UPPER('[3]Plan Tron'!D162)</f>
        <v xml:space="preserve">EXECUÇÃO DE CONCRETO PROJETADO - CONSUMO DE CIMENTO 350 KG/M³ </v>
      </c>
      <c r="E1106" s="678" t="str">
        <f>'[3]Plan Tron'!E162</f>
        <v>M³</v>
      </c>
      <c r="F1106" s="21">
        <v>104.74</v>
      </c>
      <c r="G1106" s="148">
        <v>1843.18</v>
      </c>
      <c r="H1106" s="148">
        <f>'[3]Plan Tron'!F162</f>
        <v>1916.85</v>
      </c>
      <c r="I1106" s="148">
        <v>26.44</v>
      </c>
      <c r="J1106" s="148">
        <f t="shared" si="131"/>
        <v>2423.67</v>
      </c>
      <c r="K1106" s="383">
        <v>0</v>
      </c>
      <c r="L1106" s="474">
        <f>F1106-K1106</f>
        <v>104.74</v>
      </c>
      <c r="M1106" s="471">
        <f t="shared" si="124"/>
        <v>253855.2</v>
      </c>
      <c r="N1106" s="405"/>
      <c r="O1106" s="541"/>
      <c r="P1106" s="405"/>
      <c r="Q1106" s="405"/>
      <c r="S1106" s="344" t="str">
        <f t="shared" si="129"/>
        <v xml:space="preserve">EXECUÇÃO DE CONCRETO PROJETADO - CONSUMO DE CIMENTO 350 KG/M³ </v>
      </c>
    </row>
    <row r="1107" spans="1:19" s="414" customFormat="1">
      <c r="A1107" s="410" t="s">
        <v>1275</v>
      </c>
      <c r="B1107" s="636"/>
      <c r="C1107" s="410"/>
      <c r="D1107" s="692" t="s">
        <v>2062</v>
      </c>
      <c r="E1107" s="627"/>
      <c r="F1107" s="422"/>
      <c r="G1107" s="671"/>
      <c r="H1107" s="671"/>
      <c r="I1107" s="671"/>
      <c r="J1107" s="148"/>
      <c r="K1107" s="498"/>
      <c r="L1107" s="474"/>
      <c r="M1107" s="471"/>
      <c r="N1107" s="419"/>
      <c r="O1107" s="541"/>
      <c r="P1107" s="419"/>
      <c r="Q1107" s="419"/>
      <c r="S1107" s="414" t="str">
        <f t="shared" si="129"/>
        <v>CONCRETO BOMBEADO</v>
      </c>
    </row>
    <row r="1108" spans="1:19" s="344" customFormat="1">
      <c r="A1108" s="49" t="s">
        <v>1274</v>
      </c>
      <c r="B1108" s="49">
        <f>'[3]Plan Tron'!B27</f>
        <v>110132</v>
      </c>
      <c r="C1108" s="49" t="str">
        <f>'[3]Plan Tron'!C27</f>
        <v>CPOS</v>
      </c>
      <c r="D1108" s="142" t="str">
        <f>'[3]Plan Tron'!D27</f>
        <v xml:space="preserve">CONCRETO USINADO, FCK=30MPa - PARA BOMBEAMENTO </v>
      </c>
      <c r="E1108" s="678" t="str">
        <f>'[3]Plan Tron'!E27</f>
        <v>M³</v>
      </c>
      <c r="F1108" s="120">
        <v>179.99</v>
      </c>
      <c r="G1108" s="148">
        <v>336.65</v>
      </c>
      <c r="H1108" s="148">
        <f>'[3]Plan Tron'!F27</f>
        <v>311.94</v>
      </c>
      <c r="I1108" s="148">
        <v>26.44</v>
      </c>
      <c r="J1108" s="148">
        <f t="shared" si="131"/>
        <v>394.42</v>
      </c>
      <c r="K1108" s="383">
        <v>0</v>
      </c>
      <c r="L1108" s="474">
        <f>F1108-K1108</f>
        <v>179.99</v>
      </c>
      <c r="M1108" s="471">
        <f t="shared" si="124"/>
        <v>70991.66</v>
      </c>
      <c r="N1108" s="405"/>
      <c r="O1108" s="541"/>
      <c r="P1108" s="405"/>
      <c r="Q1108" s="405"/>
      <c r="S1108" s="344" t="str">
        <f t="shared" si="129"/>
        <v xml:space="preserve">CONCRETO USINADO, FCK=30MPA - PARA BOMBEAMENTO </v>
      </c>
    </row>
    <row r="1109" spans="1:19" s="344" customFormat="1">
      <c r="A1109" s="155"/>
      <c r="B1109" s="156"/>
      <c r="C1109" s="155"/>
      <c r="D1109" s="465"/>
      <c r="E1109" s="154"/>
      <c r="F1109" s="148"/>
      <c r="G1109" s="148"/>
      <c r="H1109" s="148"/>
      <c r="I1109" s="148"/>
      <c r="J1109" s="148"/>
      <c r="K1109" s="465"/>
      <c r="L1109" s="474"/>
      <c r="M1109" s="471"/>
      <c r="N1109" s="405"/>
      <c r="O1109" s="541"/>
      <c r="P1109" s="405"/>
      <c r="Q1109" s="405"/>
    </row>
    <row r="1110" spans="1:19" s="344" customFormat="1">
      <c r="A1110" s="155"/>
      <c r="B1110" s="156"/>
      <c r="C1110" s="155"/>
      <c r="D1110" s="698" t="s">
        <v>76</v>
      </c>
      <c r="E1110" s="154"/>
      <c r="F1110" s="148"/>
      <c r="G1110" s="148"/>
      <c r="H1110" s="148"/>
      <c r="I1110" s="148"/>
      <c r="J1110" s="148"/>
      <c r="K1110" s="383"/>
      <c r="L1110" s="474"/>
      <c r="M1110" s="471"/>
      <c r="N1110" s="405"/>
      <c r="O1110" s="541"/>
      <c r="P1110" s="405"/>
      <c r="Q1110" s="405"/>
      <c r="S1110" s="344" t="str">
        <f>UPPER(D1110)</f>
        <v/>
      </c>
    </row>
    <row r="1111" spans="1:19" s="344" customFormat="1">
      <c r="A1111" s="155"/>
      <c r="B1111" s="156"/>
      <c r="C1111" s="155"/>
      <c r="D1111" s="698" t="s">
        <v>76</v>
      </c>
      <c r="E1111" s="154"/>
      <c r="F1111" s="148"/>
      <c r="G1111" s="148"/>
      <c r="H1111" s="148"/>
      <c r="I1111" s="148"/>
      <c r="J1111" s="148"/>
      <c r="K1111" s="383"/>
      <c r="L1111" s="474"/>
      <c r="M1111" s="471"/>
      <c r="N1111" s="405"/>
      <c r="O1111" s="541"/>
      <c r="P1111" s="405"/>
      <c r="Q1111" s="405"/>
      <c r="S1111" s="344" t="str">
        <f>UPPER(D1111)</f>
        <v/>
      </c>
    </row>
    <row r="1112" spans="1:19" s="344" customFormat="1">
      <c r="A1112" s="155">
        <v>4</v>
      </c>
      <c r="B1112" s="153"/>
      <c r="C1112" s="155"/>
      <c r="D1112" s="698" t="s">
        <v>2103</v>
      </c>
      <c r="E1112" s="154"/>
      <c r="F1112" s="148"/>
      <c r="G1112" s="148"/>
      <c r="H1112" s="148"/>
      <c r="I1112" s="148"/>
      <c r="J1112" s="148"/>
      <c r="K1112" s="383"/>
      <c r="L1112" s="474"/>
      <c r="M1112" s="471"/>
      <c r="N1112" s="405"/>
      <c r="O1112" s="541"/>
      <c r="P1112" s="405"/>
      <c r="Q1112" s="405"/>
      <c r="S1112" s="344" t="str">
        <f>UPPER(D1112)</f>
        <v>PAREDES E PAINÉIS</v>
      </c>
    </row>
    <row r="1113" spans="1:19" s="414" customFormat="1">
      <c r="A1113" s="624" t="s">
        <v>139</v>
      </c>
      <c r="B1113" s="673"/>
      <c r="C1113" s="410"/>
      <c r="D1113" s="692" t="s">
        <v>2115</v>
      </c>
      <c r="E1113" s="627"/>
      <c r="F1113" s="671"/>
      <c r="G1113" s="671"/>
      <c r="H1113" s="671"/>
      <c r="I1113" s="671"/>
      <c r="J1113" s="671"/>
      <c r="K1113" s="498"/>
      <c r="L1113" s="474"/>
      <c r="M1113" s="471"/>
      <c r="N1113" s="419"/>
      <c r="O1113" s="541"/>
      <c r="P1113" s="419"/>
      <c r="Q1113" s="419"/>
      <c r="S1113" s="414" t="str">
        <f>UPPER(D1113)</f>
        <v>ALVENARIA BLOCO CONCRETO</v>
      </c>
    </row>
    <row r="1114" spans="1:19" s="344" customFormat="1">
      <c r="A1114" s="155" t="s">
        <v>138</v>
      </c>
      <c r="B1114" s="153">
        <f>'[3]Plan Tron'!B157</f>
        <v>141123</v>
      </c>
      <c r="C1114" s="49" t="str">
        <f>'[3]Plan Tron'!C157</f>
        <v>CPOS</v>
      </c>
      <c r="D1114" s="697" t="str">
        <f>UPPER('[3]Plan Tron'!D157)</f>
        <v>ALVENARIA DE BLOCO DE CONCRETO ESTRUTURAL, USO REVESTIDO, DE 19 CM</v>
      </c>
      <c r="E1114" s="699" t="str">
        <f>'[3]Plan Tron'!E157</f>
        <v>M²</v>
      </c>
      <c r="F1114" s="148">
        <v>3.54</v>
      </c>
      <c r="G1114" s="148">
        <v>65</v>
      </c>
      <c r="H1114" s="148">
        <f>'[3]Plan Tron'!F157</f>
        <v>63.81</v>
      </c>
      <c r="I1114" s="148">
        <v>26.44</v>
      </c>
      <c r="J1114" s="148">
        <f>ROUND(H1114*(I1114/100+1),2)</f>
        <v>80.680000000000007</v>
      </c>
      <c r="K1114" s="383">
        <v>0</v>
      </c>
      <c r="L1114" s="474">
        <f>F1114-K1114</f>
        <v>3.54</v>
      </c>
      <c r="M1114" s="471">
        <f t="shared" si="124"/>
        <v>285.61</v>
      </c>
      <c r="N1114" s="405"/>
      <c r="O1114" s="541"/>
      <c r="P1114" s="405"/>
      <c r="Q1114" s="405"/>
      <c r="S1114" s="344" t="str">
        <f>UPPER(D1114)</f>
        <v>ALVENARIA DE BLOCO DE CONCRETO ESTRUTURAL, USO REVESTIDO, DE 19 CM</v>
      </c>
    </row>
    <row r="1115" spans="1:19" s="344" customFormat="1">
      <c r="A1115" s="155"/>
      <c r="B1115" s="153"/>
      <c r="C1115" s="155"/>
      <c r="D1115" s="465"/>
      <c r="E1115" s="154"/>
      <c r="F1115" s="148"/>
      <c r="G1115" s="148"/>
      <c r="H1115" s="148"/>
      <c r="I1115" s="148"/>
      <c r="J1115" s="148"/>
      <c r="K1115" s="465"/>
      <c r="L1115" s="474"/>
      <c r="M1115" s="471"/>
      <c r="N1115" s="405"/>
      <c r="O1115" s="541"/>
      <c r="P1115" s="405"/>
      <c r="Q1115" s="405"/>
    </row>
    <row r="1116" spans="1:19" s="344" customFormat="1">
      <c r="A1116" s="155"/>
      <c r="B1116" s="153"/>
      <c r="C1116" s="155"/>
      <c r="D1116" s="402" t="s">
        <v>76</v>
      </c>
      <c r="E1116" s="154"/>
      <c r="F1116" s="148"/>
      <c r="G1116" s="148"/>
      <c r="H1116" s="148"/>
      <c r="I1116" s="148"/>
      <c r="J1116" s="148"/>
      <c r="K1116" s="383"/>
      <c r="L1116" s="474"/>
      <c r="M1116" s="471"/>
      <c r="N1116" s="405"/>
      <c r="O1116" s="541"/>
      <c r="P1116" s="405"/>
      <c r="Q1116" s="405"/>
      <c r="S1116" s="344" t="str">
        <f t="shared" ref="S1116:S1123" si="132">UPPER(D1116)</f>
        <v/>
      </c>
    </row>
    <row r="1117" spans="1:19" s="344" customFormat="1">
      <c r="A1117" s="152">
        <v>5</v>
      </c>
      <c r="B1117" s="362"/>
      <c r="C1117" s="152"/>
      <c r="D1117" s="52" t="s">
        <v>2247</v>
      </c>
      <c r="E1117" s="154"/>
      <c r="F1117" s="158"/>
      <c r="G1117" s="148"/>
      <c r="H1117" s="148"/>
      <c r="I1117" s="148"/>
      <c r="J1117" s="148"/>
      <c r="K1117" s="383"/>
      <c r="L1117" s="474"/>
      <c r="M1117" s="471"/>
      <c r="N1117" s="405"/>
      <c r="O1117" s="541"/>
      <c r="P1117" s="405"/>
      <c r="Q1117" s="405"/>
      <c r="S1117" s="344" t="str">
        <f t="shared" si="132"/>
        <v>REVESTIMENTO E TRATAMENTO DE SUPERFÍCIE/ IMPERMEABILIZAÇÕES</v>
      </c>
    </row>
    <row r="1118" spans="1:19" s="414" customFormat="1">
      <c r="A1118" s="410" t="s">
        <v>136</v>
      </c>
      <c r="B1118" s="411"/>
      <c r="C1118" s="410"/>
      <c r="D1118" s="689" t="s">
        <v>2074</v>
      </c>
      <c r="E1118" s="617"/>
      <c r="F1118" s="413"/>
      <c r="G1118" s="671"/>
      <c r="H1118" s="671"/>
      <c r="I1118" s="671"/>
      <c r="J1118" s="671"/>
      <c r="K1118" s="498"/>
      <c r="L1118" s="474"/>
      <c r="M1118" s="471"/>
      <c r="N1118" s="419"/>
      <c r="O1118" s="541"/>
      <c r="P1118" s="419"/>
      <c r="Q1118" s="419"/>
      <c r="S1118" s="414" t="str">
        <f t="shared" si="132"/>
        <v>IMPERMEABILIZAÇÃO COM CIMENTO CRISTALIZADO</v>
      </c>
    </row>
    <row r="1119" spans="1:19" s="414" customFormat="1" ht="25.5">
      <c r="A1119" s="410" t="s">
        <v>135</v>
      </c>
      <c r="B1119" s="411"/>
      <c r="C1119" s="410"/>
      <c r="D1119" s="690" t="s">
        <v>2248</v>
      </c>
      <c r="E1119" s="617"/>
      <c r="F1119" s="413"/>
      <c r="G1119" s="671"/>
      <c r="H1119" s="671"/>
      <c r="I1119" s="671"/>
      <c r="J1119" s="671"/>
      <c r="K1119" s="498"/>
      <c r="L1119" s="474"/>
      <c r="M1119" s="471"/>
      <c r="N1119" s="419"/>
      <c r="O1119" s="541"/>
      <c r="P1119" s="419"/>
      <c r="Q1119" s="419"/>
      <c r="S1119" s="414" t="str">
        <f t="shared" si="132"/>
        <v>CIMENTO ESPECIAL CRISTALIZANTE DENVERLIT C/ EMULSÃO ADESIVA DENVERFIX - DENVER - 1 DEMÃO P/ SUB SOLO / BALDRAMES / GALERIAS / JARDINEIRAS / ETC.</v>
      </c>
    </row>
    <row r="1120" spans="1:19" s="344" customFormat="1">
      <c r="A1120" s="49" t="s">
        <v>134</v>
      </c>
      <c r="B1120" s="49" t="str">
        <f>'[3]Plan Tron'!B33</f>
        <v>73929/001</v>
      </c>
      <c r="C1120" s="49" t="str">
        <f>'[3]Plan Tron'!C33</f>
        <v>SINAPI</v>
      </c>
      <c r="D1120" s="691" t="str">
        <f>'[3]Plan Tron'!D33</f>
        <v>IMPERMEABILIZACAO DE SUPERFICIE COM CIMENTO ESPECIAL CRISTALIZANTE COM ADESIVO LIQUIDO, UMA DEMAO.</v>
      </c>
      <c r="E1120" s="77" t="str">
        <f>'[3]Plan Tron'!E33</f>
        <v>M²</v>
      </c>
      <c r="F1120" s="10">
        <v>2562.21</v>
      </c>
      <c r="G1120" s="148">
        <v>18.329999999999998</v>
      </c>
      <c r="H1120" s="148">
        <f>'[3]Plan Tron'!F33</f>
        <v>30.96</v>
      </c>
      <c r="I1120" s="148">
        <v>26.44</v>
      </c>
      <c r="J1120" s="148">
        <f>ROUND(H1120*(I1120/100+1),2)</f>
        <v>39.15</v>
      </c>
      <c r="K1120" s="383">
        <v>0</v>
      </c>
      <c r="L1120" s="474">
        <f>F1120-K1120</f>
        <v>2562.21</v>
      </c>
      <c r="M1120" s="471">
        <f t="shared" si="124"/>
        <v>100310.52</v>
      </c>
      <c r="N1120" s="405"/>
      <c r="O1120" s="541"/>
      <c r="P1120" s="405"/>
      <c r="Q1120" s="405"/>
      <c r="S1120" s="344" t="str">
        <f t="shared" si="132"/>
        <v>IMPERMEABILIZACAO DE SUPERFICIE COM CIMENTO ESPECIAL CRISTALIZANTE COM ADESIVO LIQUIDO, UMA DEMAO.</v>
      </c>
    </row>
    <row r="1121" spans="1:37" s="414" customFormat="1">
      <c r="A1121" s="410" t="s">
        <v>133</v>
      </c>
      <c r="B1121" s="425"/>
      <c r="C1121" s="410"/>
      <c r="D1121" s="420" t="s">
        <v>2131</v>
      </c>
      <c r="E1121" s="421"/>
      <c r="F1121" s="659"/>
      <c r="G1121" s="659"/>
      <c r="H1121" s="659"/>
      <c r="I1121" s="413"/>
      <c r="J1121" s="413"/>
      <c r="K1121" s="498"/>
      <c r="L1121" s="474"/>
      <c r="M1121" s="471"/>
      <c r="N1121" s="419"/>
      <c r="O1121" s="541"/>
      <c r="P1121" s="419"/>
      <c r="Q1121" s="419"/>
      <c r="S1121" s="414" t="str">
        <f t="shared" si="132"/>
        <v>IMPERMEABILIZAÇÃO BETUMINOSA C/ EMULSÃO ASFÁLTICA E ACRÍLICA.</v>
      </c>
    </row>
    <row r="1122" spans="1:37" s="344" customFormat="1" ht="25.5">
      <c r="A1122" s="49" t="s">
        <v>132</v>
      </c>
      <c r="B1122" s="29"/>
      <c r="C1122" s="49" t="s">
        <v>2015</v>
      </c>
      <c r="D1122" s="35" t="s">
        <v>2132</v>
      </c>
      <c r="E1122" s="18"/>
      <c r="F1122" s="20"/>
      <c r="G1122" s="20"/>
      <c r="H1122" s="20"/>
      <c r="I1122" s="10"/>
      <c r="J1122" s="10"/>
      <c r="K1122" s="383"/>
      <c r="L1122" s="474"/>
      <c r="M1122" s="471"/>
      <c r="N1122" s="405"/>
      <c r="O1122" s="541"/>
      <c r="P1122" s="405"/>
      <c r="Q1122" s="405"/>
      <c r="S1122" s="344" t="str">
        <f t="shared" si="132"/>
        <v>IMPERMEABILIZAÇÃO DE FUNDAÇÕES / BALDRAMES / MUROS DE ARRIMO / ALICERCES / REVESTIMENTOS EM CONTATO C/ SOLO - UTILIZAÇÃO DE TINTA BETUMINOSA TIPO NEUTROLIN / DUAS DEMÃOS.</v>
      </c>
    </row>
    <row r="1123" spans="1:37" s="344" customFormat="1">
      <c r="A1123" s="49" t="s">
        <v>131</v>
      </c>
      <c r="B1123" s="49" t="str">
        <f>'[3]Plan Tron'!B71</f>
        <v>74106/001</v>
      </c>
      <c r="C1123" s="49" t="str">
        <f>'[3]Plan Tron'!C71</f>
        <v>SINAPI</v>
      </c>
      <c r="D1123" s="35" t="str">
        <f>'[3]Plan Tron'!D71</f>
        <v>IMPERMEABILIZACAO DE ESTRUTURAS ENTERRADAS,COM TINTA ASFALTICA, DUAS DEMÃOS.</v>
      </c>
      <c r="E1123" s="18" t="str">
        <f>'[3]Plan Tron'!E71</f>
        <v>M²</v>
      </c>
      <c r="F1123" s="20">
        <v>416.02</v>
      </c>
      <c r="G1123" s="20">
        <v>6.65</v>
      </c>
      <c r="H1123" s="20">
        <f>'[3]Plan Tron'!F71</f>
        <v>9.2899999999999991</v>
      </c>
      <c r="I1123" s="10">
        <v>26.44</v>
      </c>
      <c r="J1123" s="10">
        <f>ROUND(H1123*(I1123/100+1),2)</f>
        <v>11.75</v>
      </c>
      <c r="K1123" s="383">
        <v>0</v>
      </c>
      <c r="L1123" s="474">
        <f>F1123-K1123</f>
        <v>416.02</v>
      </c>
      <c r="M1123" s="471">
        <f t="shared" si="124"/>
        <v>4888.24</v>
      </c>
      <c r="N1123" s="405"/>
      <c r="O1123" s="541"/>
      <c r="P1123" s="405"/>
      <c r="Q1123" s="405"/>
      <c r="S1123" s="344" t="str">
        <f t="shared" si="132"/>
        <v>IMPERMEABILIZACAO DE ESTRUTURAS ENTERRADAS,COM TINTA ASFALTICA, DUAS DEMÃOS.</v>
      </c>
    </row>
    <row r="1124" spans="1:37" s="344" customFormat="1">
      <c r="A1124" s="155"/>
      <c r="B1124" s="700"/>
      <c r="C1124" s="155"/>
      <c r="D1124" s="465"/>
      <c r="E1124" s="181"/>
      <c r="F1124" s="701"/>
      <c r="G1124" s="148"/>
      <c r="H1124" s="148"/>
      <c r="I1124" s="148"/>
      <c r="J1124" s="148"/>
      <c r="K1124" s="465"/>
      <c r="L1124" s="474"/>
      <c r="M1124" s="471"/>
      <c r="N1124" s="405"/>
      <c r="O1124" s="541"/>
      <c r="P1124" s="405"/>
      <c r="Q1124" s="405"/>
    </row>
    <row r="1125" spans="1:37" s="344" customFormat="1">
      <c r="A1125" s="155"/>
      <c r="B1125" s="362"/>
      <c r="C1125" s="155"/>
      <c r="D1125" s="402" t="s">
        <v>76</v>
      </c>
      <c r="E1125" s="154"/>
      <c r="F1125" s="158"/>
      <c r="G1125" s="148"/>
      <c r="H1125" s="148"/>
      <c r="I1125" s="148"/>
      <c r="J1125" s="148"/>
      <c r="K1125" s="383"/>
      <c r="L1125" s="474"/>
      <c r="M1125" s="471"/>
      <c r="N1125" s="405"/>
      <c r="O1125" s="541"/>
      <c r="P1125" s="405"/>
      <c r="Q1125" s="405"/>
      <c r="S1125" s="344" t="str">
        <f>UPPER(D1125)</f>
        <v/>
      </c>
    </row>
    <row r="1126" spans="1:37" s="344" customFormat="1">
      <c r="A1126" s="122">
        <v>6</v>
      </c>
      <c r="B1126" s="123"/>
      <c r="C1126" s="122"/>
      <c r="D1126" s="702" t="s">
        <v>2107</v>
      </c>
      <c r="E1126" s="119"/>
      <c r="F1126" s="120"/>
      <c r="G1126" s="121"/>
      <c r="H1126" s="121"/>
      <c r="I1126" s="10"/>
      <c r="J1126" s="10"/>
      <c r="K1126" s="383"/>
      <c r="L1126" s="474"/>
      <c r="M1126" s="471"/>
      <c r="N1126" s="405"/>
      <c r="O1126" s="541"/>
      <c r="P1126" s="405"/>
      <c r="Q1126" s="405"/>
      <c r="S1126" s="344" t="str">
        <f>UPPER(D1126)</f>
        <v>PINTURAS</v>
      </c>
    </row>
    <row r="1127" spans="1:37" s="414" customFormat="1">
      <c r="A1127" s="684" t="s">
        <v>120</v>
      </c>
      <c r="B1127" s="411"/>
      <c r="C1127" s="410"/>
      <c r="D1127" s="690" t="s">
        <v>2113</v>
      </c>
      <c r="E1127" s="617"/>
      <c r="F1127" s="422"/>
      <c r="G1127" s="422"/>
      <c r="H1127" s="422"/>
      <c r="I1127" s="413"/>
      <c r="J1127" s="413"/>
      <c r="K1127" s="498"/>
      <c r="L1127" s="474"/>
      <c r="M1127" s="471"/>
      <c r="N1127" s="419"/>
      <c r="O1127" s="541"/>
      <c r="P1127" s="419"/>
      <c r="Q1127" s="419"/>
      <c r="S1127" s="414" t="str">
        <f>UPPER(D1127)</f>
        <v>PINTURA EM CONCRETO APARENTE</v>
      </c>
    </row>
    <row r="1128" spans="1:37" s="344" customFormat="1">
      <c r="A1128" s="126" t="s">
        <v>119</v>
      </c>
      <c r="B1128" s="49">
        <f>'[3]Plan Tron'!B75</f>
        <v>84678</v>
      </c>
      <c r="C1128" s="49" t="str">
        <f>'[3]Plan Tron'!C75</f>
        <v>SINAPI</v>
      </c>
      <c r="D1128" s="15" t="str">
        <f>'[3]Plan Tron'!D75</f>
        <v xml:space="preserve">VERNIZ POLIURETANO BRILHANTE EM CONCRETO OU TIJOLO, TRES DEMAOS </v>
      </c>
      <c r="E1128" s="77" t="str">
        <f>'[3]Plan Tron'!E75</f>
        <v>M²</v>
      </c>
      <c r="F1128" s="21">
        <v>27.39</v>
      </c>
      <c r="G1128" s="21">
        <v>11.75</v>
      </c>
      <c r="H1128" s="21">
        <f>'[3]Plan Tron'!F75</f>
        <v>16.84</v>
      </c>
      <c r="I1128" s="10">
        <v>26.44</v>
      </c>
      <c r="J1128" s="10">
        <f>ROUND(H1128*(I1128/100+1),2)</f>
        <v>21.29</v>
      </c>
      <c r="K1128" s="383">
        <v>0</v>
      </c>
      <c r="L1128" s="474">
        <f>F1128-K1128</f>
        <v>27.39</v>
      </c>
      <c r="M1128" s="471">
        <f t="shared" ref="M1128:M1132" si="133">ROUND(L1128*J1128,2)</f>
        <v>583.13</v>
      </c>
      <c r="N1128" s="405"/>
      <c r="O1128" s="541"/>
      <c r="P1128" s="405"/>
      <c r="Q1128" s="405"/>
      <c r="S1128" s="344" t="str">
        <f>UPPER(D1128)</f>
        <v xml:space="preserve">VERNIZ POLIURETANO BRILHANTE EM CONCRETO OU TIJOLO, TRES DEMAOS </v>
      </c>
    </row>
    <row r="1129" spans="1:37" s="344" customFormat="1">
      <c r="A1129" s="126"/>
      <c r="B1129" s="11"/>
      <c r="C1129" s="126"/>
      <c r="D1129" s="451"/>
      <c r="E1129" s="7"/>
      <c r="F1129" s="21"/>
      <c r="G1129" s="21"/>
      <c r="H1129" s="21"/>
      <c r="I1129" s="10"/>
      <c r="J1129" s="10"/>
      <c r="K1129" s="451"/>
      <c r="L1129" s="474"/>
      <c r="M1129" s="471"/>
      <c r="N1129" s="405"/>
      <c r="O1129" s="541"/>
      <c r="P1129" s="405"/>
      <c r="Q1129" s="405"/>
    </row>
    <row r="1130" spans="1:37">
      <c r="A1130" s="126"/>
      <c r="B1130" s="11"/>
      <c r="C1130" s="126"/>
      <c r="D1130" s="15" t="s">
        <v>76</v>
      </c>
      <c r="E1130" s="7"/>
      <c r="F1130" s="21"/>
      <c r="G1130" s="21"/>
      <c r="H1130" s="21"/>
      <c r="I1130" s="10"/>
      <c r="J1130" s="10"/>
      <c r="K1130" s="383"/>
      <c r="L1130" s="474"/>
      <c r="M1130" s="471"/>
      <c r="N1130" s="405"/>
      <c r="O1130" s="541"/>
      <c r="P1130" s="405"/>
      <c r="Q1130" s="405"/>
      <c r="S1130" s="344" t="str">
        <f>UPPER(D1130)</f>
        <v/>
      </c>
    </row>
    <row r="1131" spans="1:37">
      <c r="A1131" s="45">
        <v>7</v>
      </c>
      <c r="B1131" s="17"/>
      <c r="C1131" s="45"/>
      <c r="D1131" s="52" t="s">
        <v>2109</v>
      </c>
      <c r="E1131" s="7"/>
      <c r="F1131" s="10"/>
      <c r="G1131" s="148"/>
      <c r="H1131" s="148"/>
      <c r="I1131" s="148"/>
      <c r="J1131" s="148"/>
      <c r="K1131" s="383"/>
      <c r="L1131" s="474"/>
      <c r="M1131" s="471"/>
      <c r="N1131" s="405"/>
      <c r="O1131" s="541"/>
      <c r="P1131" s="405"/>
      <c r="Q1131" s="405"/>
      <c r="S1131" s="344" t="str">
        <f>UPPER(D1131)</f>
        <v>MONTAGEM DE MATERIAIS E EQUIPAMENTOS HIDRÁULICOS, HIDROMECÂNICOS E DIVERSOS</v>
      </c>
    </row>
    <row r="1132" spans="1:37" s="344" customFormat="1" ht="25.5">
      <c r="A1132" s="49" t="s">
        <v>109</v>
      </c>
      <c r="B1132" s="11" t="s">
        <v>308</v>
      </c>
      <c r="C1132" s="49"/>
      <c r="D1132" s="15" t="s">
        <v>2249</v>
      </c>
      <c r="E1132" s="7" t="s">
        <v>2339</v>
      </c>
      <c r="F1132" s="10">
        <f>ROUND(1,2)</f>
        <v>1</v>
      </c>
      <c r="G1132" s="21">
        <v>13758.320000000002</v>
      </c>
      <c r="H1132" s="9">
        <f t="shared" ref="H1132" si="134">G1132*$P$7</f>
        <v>15894.987096000003</v>
      </c>
      <c r="I1132" s="148">
        <v>26.44</v>
      </c>
      <c r="J1132" s="148">
        <f>ROUND(H1132*(I1132/100+1),2)</f>
        <v>20097.62</v>
      </c>
      <c r="K1132" s="383">
        <v>0</v>
      </c>
      <c r="L1132" s="474">
        <f>F1132-K1132</f>
        <v>1</v>
      </c>
      <c r="M1132" s="471">
        <f t="shared" si="133"/>
        <v>20097.62</v>
      </c>
      <c r="N1132" s="405"/>
      <c r="O1132" s="541"/>
      <c r="P1132" s="405"/>
      <c r="Q1132" s="405"/>
      <c r="S1132" s="344" t="str">
        <f>UPPER(D1132)</f>
        <v>MONTAGEM DE MATERIAIS E EQUIPAMENTOS HIDRÁULICOS, HIDROMECÂNICOS E DIVERSOS DO TANQUE DE EQUALIZAÇÃO, DA ESTRUTURA DE CHEGADA E DA ESTAÇÃO ELEVATÓRIA DE RETORNO.</v>
      </c>
    </row>
    <row r="1133" spans="1:37">
      <c r="A1133" s="73"/>
      <c r="B1133" s="11"/>
      <c r="C1133" s="73"/>
      <c r="D1133" s="451"/>
      <c r="E1133" s="7"/>
      <c r="F1133" s="10"/>
      <c r="G1133" s="325"/>
      <c r="H1133" s="148"/>
      <c r="I1133" s="148"/>
      <c r="J1133" s="148"/>
      <c r="K1133" s="451"/>
      <c r="L1133" s="474"/>
      <c r="M1133" s="472"/>
      <c r="N1133" s="405"/>
      <c r="O1133" s="541"/>
      <c r="P1133" s="405"/>
      <c r="Q1133" s="405"/>
    </row>
    <row r="1134" spans="1:37" s="299" customFormat="1">
      <c r="A1134" s="297"/>
      <c r="B1134" s="298"/>
      <c r="C1134" s="298"/>
      <c r="D1134" s="509"/>
      <c r="E1134" s="297"/>
      <c r="F1134" s="298"/>
      <c r="G1134" s="301"/>
      <c r="H1134" s="338"/>
      <c r="I1134" s="298"/>
      <c r="J1134" s="298"/>
      <c r="K1134" s="341"/>
      <c r="L1134" s="474"/>
      <c r="M1134" s="471"/>
      <c r="N1134" s="405"/>
      <c r="O1134" s="541"/>
      <c r="P1134" s="405"/>
      <c r="Q1134" s="405"/>
      <c r="R1134" s="388"/>
      <c r="S1134" s="344" t="str">
        <f>UPPER(D1134)</f>
        <v/>
      </c>
      <c r="T1134" s="388"/>
      <c r="U1134" s="388"/>
      <c r="V1134" s="388"/>
      <c r="W1134" s="388"/>
      <c r="X1134" s="388"/>
      <c r="Y1134" s="388"/>
      <c r="Z1134" s="388"/>
      <c r="AA1134" s="388"/>
      <c r="AB1134" s="388"/>
      <c r="AC1134" s="388"/>
      <c r="AD1134" s="388"/>
      <c r="AE1134" s="388"/>
      <c r="AF1134" s="388"/>
      <c r="AG1134" s="388"/>
      <c r="AH1134" s="388"/>
      <c r="AI1134" s="388"/>
      <c r="AJ1134" s="388"/>
      <c r="AK1134" s="388"/>
    </row>
    <row r="1135" spans="1:37" s="299" customFormat="1">
      <c r="A1135" s="297"/>
      <c r="B1135" s="298"/>
      <c r="C1135" s="298"/>
      <c r="D1135" s="511" t="s">
        <v>2367</v>
      </c>
      <c r="E1135" s="297"/>
      <c r="F1135" s="298"/>
      <c r="G1135" s="301"/>
      <c r="H1135" s="338"/>
      <c r="I1135" s="298"/>
      <c r="J1135" s="298"/>
      <c r="K1135" s="506"/>
      <c r="L1135" s="476"/>
      <c r="M1135" s="505">
        <f>SUM(M1061:M1133)</f>
        <v>1186748.6500000001</v>
      </c>
      <c r="N1135" s="405"/>
      <c r="O1135" s="541"/>
      <c r="P1135" s="405"/>
      <c r="Q1135" s="405"/>
      <c r="R1135" s="388"/>
      <c r="S1135" s="344"/>
      <c r="T1135" s="388"/>
      <c r="U1135" s="388"/>
      <c r="V1135" s="388"/>
      <c r="W1135" s="388"/>
      <c r="X1135" s="388"/>
      <c r="Y1135" s="388"/>
      <c r="Z1135" s="388"/>
      <c r="AA1135" s="388"/>
      <c r="AB1135" s="388"/>
      <c r="AC1135" s="388"/>
      <c r="AD1135" s="388"/>
      <c r="AE1135" s="388"/>
      <c r="AF1135" s="388"/>
      <c r="AG1135" s="388"/>
      <c r="AH1135" s="388"/>
      <c r="AI1135" s="388"/>
      <c r="AJ1135" s="388"/>
      <c r="AK1135" s="388"/>
    </row>
    <row r="1136" spans="1:37" s="299" customFormat="1">
      <c r="A1136" s="297"/>
      <c r="B1136" s="298"/>
      <c r="C1136" s="298"/>
      <c r="D1136" s="442" t="s">
        <v>76</v>
      </c>
      <c r="E1136" s="297" t="s">
        <v>76</v>
      </c>
      <c r="F1136" s="298"/>
      <c r="G1136" s="301"/>
      <c r="H1136" s="338"/>
      <c r="I1136" s="298"/>
      <c r="J1136" s="298"/>
      <c r="K1136" s="341"/>
      <c r="L1136" s="474"/>
      <c r="M1136" s="471"/>
      <c r="N1136" s="405"/>
      <c r="O1136" s="541"/>
      <c r="P1136" s="405"/>
      <c r="Q1136" s="405"/>
      <c r="R1136" s="388"/>
      <c r="S1136" s="344" t="str">
        <f t="shared" ref="S1136:S1147" si="135">UPPER(D1136)</f>
        <v/>
      </c>
      <c r="T1136" s="388"/>
      <c r="U1136" s="388"/>
      <c r="V1136" s="388"/>
      <c r="W1136" s="388"/>
      <c r="X1136" s="388"/>
      <c r="Y1136" s="388"/>
      <c r="Z1136" s="388"/>
      <c r="AA1136" s="388"/>
      <c r="AB1136" s="388"/>
      <c r="AC1136" s="388"/>
      <c r="AD1136" s="388"/>
      <c r="AE1136" s="388"/>
      <c r="AF1136" s="388"/>
      <c r="AG1136" s="388"/>
      <c r="AH1136" s="388"/>
      <c r="AI1136" s="388"/>
      <c r="AJ1136" s="388"/>
      <c r="AK1136" s="388"/>
    </row>
    <row r="1137" spans="1:19" s="450" customFormat="1">
      <c r="A1137" s="445" t="s">
        <v>44</v>
      </c>
      <c r="B1137" s="446"/>
      <c r="C1137" s="447"/>
      <c r="D1137" s="448" t="s">
        <v>1972</v>
      </c>
      <c r="E1137" s="453" t="s">
        <v>76</v>
      </c>
      <c r="F1137" s="446"/>
      <c r="G1137" s="446"/>
      <c r="H1137" s="446"/>
      <c r="I1137" s="446"/>
      <c r="J1137" s="446"/>
      <c r="K1137" s="473"/>
      <c r="L1137" s="478"/>
      <c r="M1137" s="479"/>
      <c r="N1137" s="454"/>
      <c r="O1137" s="541"/>
      <c r="P1137" s="454"/>
      <c r="Q1137" s="454"/>
      <c r="S1137" s="450" t="str">
        <f t="shared" si="135"/>
        <v>ESTAÇÃO ELEVATÓRIA DE RECIRCULAÇÃO</v>
      </c>
    </row>
    <row r="1138" spans="1:19" s="344" customFormat="1">
      <c r="A1138" s="45">
        <v>1</v>
      </c>
      <c r="B1138" s="25"/>
      <c r="C1138" s="45"/>
      <c r="D1138" s="399" t="s">
        <v>2038</v>
      </c>
      <c r="E1138" s="24" t="s">
        <v>76</v>
      </c>
      <c r="F1138" s="21"/>
      <c r="G1138" s="9"/>
      <c r="H1138" s="9"/>
      <c r="I1138" s="9"/>
      <c r="J1138" s="9"/>
      <c r="K1138" s="383"/>
      <c r="L1138" s="474"/>
      <c r="M1138" s="471"/>
      <c r="N1138" s="405"/>
      <c r="O1138" s="541"/>
      <c r="P1138" s="405"/>
      <c r="Q1138" s="405"/>
      <c r="S1138" s="344" t="str">
        <f t="shared" si="135"/>
        <v>MOVIMENTO DE TERRA</v>
      </c>
    </row>
    <row r="1139" spans="1:19" s="414" customFormat="1">
      <c r="A1139" s="410" t="s">
        <v>20</v>
      </c>
      <c r="B1139" s="411"/>
      <c r="C1139" s="410"/>
      <c r="D1139" s="434" t="s">
        <v>2041</v>
      </c>
      <c r="E1139" s="424" t="s">
        <v>76</v>
      </c>
      <c r="F1139" s="422"/>
      <c r="G1139" s="412"/>
      <c r="H1139" s="412"/>
      <c r="I1139" s="412"/>
      <c r="J1139" s="412"/>
      <c r="K1139" s="498"/>
      <c r="L1139" s="474"/>
      <c r="M1139" s="471"/>
      <c r="N1139" s="419"/>
      <c r="O1139" s="541"/>
      <c r="P1139" s="419"/>
      <c r="Q1139" s="419"/>
      <c r="S1139" s="414" t="str">
        <f t="shared" si="135"/>
        <v>ESCAVAÇÃO DE VALAS</v>
      </c>
    </row>
    <row r="1140" spans="1:19" s="414" customFormat="1">
      <c r="A1140" s="410" t="s">
        <v>153</v>
      </c>
      <c r="B1140" s="411"/>
      <c r="C1140" s="410"/>
      <c r="D1140" s="434" t="s">
        <v>2042</v>
      </c>
      <c r="E1140" s="424" t="s">
        <v>76</v>
      </c>
      <c r="F1140" s="422"/>
      <c r="G1140" s="412"/>
      <c r="H1140" s="412"/>
      <c r="I1140" s="412"/>
      <c r="J1140" s="412"/>
      <c r="K1140" s="498"/>
      <c r="L1140" s="474"/>
      <c r="M1140" s="471"/>
      <c r="N1140" s="419"/>
      <c r="O1140" s="541"/>
      <c r="P1140" s="419"/>
      <c r="Q1140" s="419"/>
      <c r="S1140" s="414" t="str">
        <f t="shared" si="135"/>
        <v>ESCAVAÇÃO MECÂNICA DE CAVAS</v>
      </c>
    </row>
    <row r="1141" spans="1:19" s="344" customFormat="1">
      <c r="A1141" s="49" t="s">
        <v>152</v>
      </c>
      <c r="B1141" s="49">
        <f>'[3]Plan Tron'!B7</f>
        <v>60202</v>
      </c>
      <c r="C1141" s="49" t="str">
        <f>'[3]Plan Tron'!C7</f>
        <v>CPOS</v>
      </c>
      <c r="D1141" s="645" t="str">
        <f>'[3]Plan Tron'!D7</f>
        <v xml:space="preserve">ESCAVAÇÃO MANUAL EM SOLO DE 1ª E 2ª CATEGORIA EM VALA OU CAVA ATÉ 1,50M </v>
      </c>
      <c r="E1141" s="77" t="str">
        <f>'[3]Plan Tron'!E7</f>
        <v>M³</v>
      </c>
      <c r="F1141" s="21">
        <v>23.33</v>
      </c>
      <c r="G1141" s="9">
        <v>10.220000000000001</v>
      </c>
      <c r="H1141" s="9">
        <f>'[3]Plan Tron'!F7</f>
        <v>34.020000000000003</v>
      </c>
      <c r="I1141" s="9">
        <v>26.44</v>
      </c>
      <c r="J1141" s="9">
        <f>ROUND(H1141*(I1141/100+1),2)</f>
        <v>43.01</v>
      </c>
      <c r="K1141" s="383">
        <v>0</v>
      </c>
      <c r="L1141" s="474">
        <f>F1141-K1141</f>
        <v>23.33</v>
      </c>
      <c r="M1141" s="471">
        <f t="shared" ref="M1141:M1196" si="136">ROUND(L1141*J1141,2)</f>
        <v>1003.42</v>
      </c>
      <c r="N1141" s="405"/>
      <c r="O1141" s="541"/>
      <c r="P1141" s="405"/>
      <c r="Q1141" s="405"/>
      <c r="S1141" s="344" t="str">
        <f t="shared" si="135"/>
        <v xml:space="preserve">ESCAVAÇÃO MANUAL EM SOLO DE 1ª E 2ª CATEGORIA EM VALA OU CAVA ATÉ 1,50M </v>
      </c>
    </row>
    <row r="1142" spans="1:19" s="414" customFormat="1">
      <c r="A1142" s="410" t="s">
        <v>19</v>
      </c>
      <c r="B1142" s="411"/>
      <c r="C1142" s="410"/>
      <c r="D1142" s="434" t="s">
        <v>2111</v>
      </c>
      <c r="E1142" s="424"/>
      <c r="F1142" s="422"/>
      <c r="G1142" s="412"/>
      <c r="H1142" s="412"/>
      <c r="I1142" s="412"/>
      <c r="J1142" s="412"/>
      <c r="K1142" s="498"/>
      <c r="L1142" s="474"/>
      <c r="M1142" s="471"/>
      <c r="N1142" s="419"/>
      <c r="O1142" s="541"/>
      <c r="P1142" s="419"/>
      <c r="Q1142" s="419"/>
      <c r="S1142" s="414" t="str">
        <f t="shared" si="135"/>
        <v>ATERRO / REATERRO DE VALAS COM OU S/ COMPACTAÇÃO.</v>
      </c>
    </row>
    <row r="1143" spans="1:19" s="414" customFormat="1">
      <c r="A1143" s="410" t="s">
        <v>147</v>
      </c>
      <c r="B1143" s="411"/>
      <c r="C1143" s="410"/>
      <c r="D1143" s="434" t="s">
        <v>2045</v>
      </c>
      <c r="E1143" s="424"/>
      <c r="F1143" s="422"/>
      <c r="G1143" s="412"/>
      <c r="H1143" s="412"/>
      <c r="I1143" s="412"/>
      <c r="J1143" s="412"/>
      <c r="K1143" s="498"/>
      <c r="L1143" s="474"/>
      <c r="M1143" s="471"/>
      <c r="N1143" s="419"/>
      <c r="O1143" s="541"/>
      <c r="P1143" s="419"/>
      <c r="Q1143" s="419"/>
      <c r="S1143" s="414" t="str">
        <f t="shared" si="135"/>
        <v>REATERRO DE VALAS</v>
      </c>
    </row>
    <row r="1144" spans="1:19" s="344" customFormat="1">
      <c r="A1144" s="49" t="s">
        <v>146</v>
      </c>
      <c r="B1144" s="49" t="str">
        <f>'[3]Plan Tron'!B12</f>
        <v xml:space="preserve">73964/006 </v>
      </c>
      <c r="C1144" s="49" t="str">
        <f>'[3]Plan Tron'!C12</f>
        <v>SINAPI</v>
      </c>
      <c r="D1144" s="84" t="str">
        <f>'[3]Plan Tron'!D12</f>
        <v xml:space="preserve">REATERRO DE VALA COM COMPACTAÇÃO MANUAL </v>
      </c>
      <c r="E1144" s="77" t="str">
        <f>'[3]Plan Tron'!E12</f>
        <v>M³</v>
      </c>
      <c r="F1144" s="21">
        <v>10.14</v>
      </c>
      <c r="G1144" s="9">
        <v>39.369999999999997</v>
      </c>
      <c r="H1144" s="9">
        <f>'[3]Plan Tron'!F12</f>
        <v>49.62</v>
      </c>
      <c r="I1144" s="9">
        <v>26.44</v>
      </c>
      <c r="J1144" s="9">
        <f>ROUND(H1144*(I1144/100+1),2)</f>
        <v>62.74</v>
      </c>
      <c r="K1144" s="383">
        <v>0</v>
      </c>
      <c r="L1144" s="474">
        <f>F1144-K1144</f>
        <v>10.14</v>
      </c>
      <c r="M1144" s="471">
        <f t="shared" si="136"/>
        <v>636.17999999999995</v>
      </c>
      <c r="N1144" s="405"/>
      <c r="O1144" s="541"/>
      <c r="P1144" s="405"/>
      <c r="Q1144" s="405"/>
      <c r="S1144" s="344" t="str">
        <f t="shared" si="135"/>
        <v xml:space="preserve">REATERRO DE VALA COM COMPACTAÇÃO MANUAL </v>
      </c>
    </row>
    <row r="1145" spans="1:19" s="414" customFormat="1">
      <c r="A1145" s="410" t="s">
        <v>18</v>
      </c>
      <c r="B1145" s="411"/>
      <c r="C1145" s="410"/>
      <c r="D1145" s="434" t="s">
        <v>2046</v>
      </c>
      <c r="E1145" s="424"/>
      <c r="F1145" s="422"/>
      <c r="G1145" s="412"/>
      <c r="H1145" s="412"/>
      <c r="I1145" s="412"/>
      <c r="J1145" s="412"/>
      <c r="K1145" s="498"/>
      <c r="L1145" s="474"/>
      <c r="M1145" s="471"/>
      <c r="N1145" s="419"/>
      <c r="O1145" s="541"/>
      <c r="P1145" s="419"/>
      <c r="Q1145" s="419"/>
      <c r="S1145" s="414" t="str">
        <f t="shared" si="135"/>
        <v>CARGA, DESCARGA E/OU TRANSPORTE DE MATERIAIS</v>
      </c>
    </row>
    <row r="1146" spans="1:19" s="344" customFormat="1">
      <c r="A1146" s="49" t="s">
        <v>201</v>
      </c>
      <c r="B1146" s="49">
        <f>'[3]Plan Tron'!B13</f>
        <v>72885</v>
      </c>
      <c r="C1146" s="49" t="str">
        <f>'[3]Plan Tron'!C13</f>
        <v>SINAPI</v>
      </c>
      <c r="D1146" s="84" t="str">
        <f>'[3]Plan Tron'!D13</f>
        <v>TRANSPORTE COMERCIAL COM CAMINHAO BASCULANTE 6 M3, RODOVIA EM LEITO NATURAL</v>
      </c>
      <c r="E1146" s="77" t="str">
        <f>'[3]Plan Tron'!E13</f>
        <v>M³ X KM</v>
      </c>
      <c r="F1146" s="21">
        <v>65.97</v>
      </c>
      <c r="G1146" s="9">
        <v>1.03</v>
      </c>
      <c r="H1146" s="9">
        <f>'[3]Plan Tron'!F13</f>
        <v>1.37</v>
      </c>
      <c r="I1146" s="9">
        <v>26.44</v>
      </c>
      <c r="J1146" s="9">
        <f>ROUND(H1146*(I1146/100+1),2)</f>
        <v>1.73</v>
      </c>
      <c r="K1146" s="383">
        <v>0</v>
      </c>
      <c r="L1146" s="474">
        <f>F1146-K1146</f>
        <v>65.97</v>
      </c>
      <c r="M1146" s="471">
        <f t="shared" si="136"/>
        <v>114.13</v>
      </c>
      <c r="N1146" s="405"/>
      <c r="O1146" s="541"/>
      <c r="P1146" s="405"/>
      <c r="Q1146" s="405"/>
      <c r="S1146" s="344" t="str">
        <f t="shared" si="135"/>
        <v>TRANSPORTE COMERCIAL COM CAMINHAO BASCULANTE 6 M3, RODOVIA EM LEITO NATURAL</v>
      </c>
    </row>
    <row r="1147" spans="1:19" s="344" customFormat="1" ht="25.5">
      <c r="A1147" s="49" t="s">
        <v>198</v>
      </c>
      <c r="B1147" s="49">
        <f>'[3]Plan Tron'!B14</f>
        <v>72888</v>
      </c>
      <c r="C1147" s="49" t="str">
        <f>'[3]Plan Tron'!C14</f>
        <v>SINAPI</v>
      </c>
      <c r="D1147" s="84" t="str">
        <f>'[3]Plan Tron'!D14</f>
        <v>CARGA, MANOBRAS E DESCARGA DE AREIA, BRITA, PEDRA DE MAO E SOLOS COM CAMINHAO BASCULANTE 6 M3 (DESCARGA LIVRE)</v>
      </c>
      <c r="E1147" s="77" t="str">
        <f>'[3]Plan Tron'!E14</f>
        <v>M³</v>
      </c>
      <c r="F1147" s="21">
        <v>13.19</v>
      </c>
      <c r="G1147" s="9">
        <v>0.81</v>
      </c>
      <c r="H1147" s="9">
        <f>'[3]Plan Tron'!F14</f>
        <v>0.96</v>
      </c>
      <c r="I1147" s="9">
        <v>26.44</v>
      </c>
      <c r="J1147" s="9">
        <f>ROUND(H1147*(I1147/100+1),2)</f>
        <v>1.21</v>
      </c>
      <c r="K1147" s="383">
        <v>0</v>
      </c>
      <c r="L1147" s="474">
        <f>F1147-K1147</f>
        <v>13.19</v>
      </c>
      <c r="M1147" s="471">
        <f t="shared" si="136"/>
        <v>15.96</v>
      </c>
      <c r="N1147" s="405"/>
      <c r="O1147" s="541"/>
      <c r="P1147" s="405"/>
      <c r="Q1147" s="405"/>
      <c r="S1147" s="344" t="str">
        <f t="shared" si="135"/>
        <v>CARGA, MANOBRAS E DESCARGA DE AREIA, BRITA, PEDRA DE MAO E SOLOS COM CAMINHAO BASCULANTE 6 M3 (DESCARGA LIVRE)</v>
      </c>
    </row>
    <row r="1148" spans="1:19" s="344" customFormat="1">
      <c r="A1148" s="49"/>
      <c r="B1148" s="17"/>
      <c r="C1148" s="49"/>
      <c r="D1148" s="17"/>
      <c r="E1148" s="7"/>
      <c r="F1148" s="10"/>
      <c r="G1148" s="27"/>
      <c r="H1148" s="27"/>
      <c r="I1148" s="9"/>
      <c r="J1148" s="9"/>
      <c r="K1148" s="17"/>
      <c r="L1148" s="474"/>
      <c r="M1148" s="471"/>
      <c r="N1148" s="405"/>
      <c r="O1148" s="541"/>
      <c r="P1148" s="405"/>
      <c r="Q1148" s="405"/>
    </row>
    <row r="1149" spans="1:19" s="344" customFormat="1">
      <c r="A1149" s="49"/>
      <c r="B1149" s="17"/>
      <c r="C1149" s="49"/>
      <c r="D1149" s="53" t="s">
        <v>76</v>
      </c>
      <c r="E1149" s="7"/>
      <c r="F1149" s="10"/>
      <c r="G1149" s="27"/>
      <c r="H1149" s="27"/>
      <c r="I1149" s="9"/>
      <c r="J1149" s="9"/>
      <c r="K1149" s="383"/>
      <c r="L1149" s="474"/>
      <c r="M1149" s="471"/>
      <c r="N1149" s="405"/>
      <c r="O1149" s="541"/>
      <c r="P1149" s="405"/>
      <c r="Q1149" s="405"/>
      <c r="S1149" s="344" t="str">
        <f t="shared" ref="S1149:S1164" si="137">UPPER(D1149)</f>
        <v/>
      </c>
    </row>
    <row r="1150" spans="1:19" s="344" customFormat="1">
      <c r="A1150" s="45">
        <v>2</v>
      </c>
      <c r="B1150" s="23"/>
      <c r="C1150" s="45"/>
      <c r="D1150" s="399" t="s">
        <v>2054</v>
      </c>
      <c r="E1150" s="24"/>
      <c r="F1150" s="21"/>
      <c r="G1150" s="9"/>
      <c r="H1150" s="9"/>
      <c r="I1150" s="9"/>
      <c r="J1150" s="9"/>
      <c r="K1150" s="383"/>
      <c r="L1150" s="474"/>
      <c r="M1150" s="471"/>
      <c r="N1150" s="405"/>
      <c r="O1150" s="541"/>
      <c r="P1150" s="405"/>
      <c r="Q1150" s="405"/>
      <c r="S1150" s="344" t="str">
        <f t="shared" si="137"/>
        <v>FUNDAÇÕES E ESTRUTURAS</v>
      </c>
    </row>
    <row r="1151" spans="1:19" s="414" customFormat="1">
      <c r="A1151" s="410" t="s">
        <v>9</v>
      </c>
      <c r="B1151" s="673"/>
      <c r="C1151" s="410"/>
      <c r="D1151" s="637" t="s">
        <v>2055</v>
      </c>
      <c r="E1151" s="424"/>
      <c r="F1151" s="422"/>
      <c r="G1151" s="412"/>
      <c r="H1151" s="412"/>
      <c r="I1151" s="412"/>
      <c r="J1151" s="412"/>
      <c r="K1151" s="498"/>
      <c r="L1151" s="474"/>
      <c r="M1151" s="471"/>
      <c r="N1151" s="419"/>
      <c r="O1151" s="541"/>
      <c r="P1151" s="419"/>
      <c r="Q1151" s="419"/>
      <c r="S1151" s="414" t="str">
        <f t="shared" si="137"/>
        <v>LASTROS / FUNDAÇÕES DIRETAS</v>
      </c>
    </row>
    <row r="1152" spans="1:19" s="414" customFormat="1">
      <c r="A1152" s="410" t="s">
        <v>348</v>
      </c>
      <c r="B1152" s="673"/>
      <c r="C1152" s="410"/>
      <c r="D1152" s="637" t="s">
        <v>2056</v>
      </c>
      <c r="E1152" s="424"/>
      <c r="F1152" s="422"/>
      <c r="G1152" s="412"/>
      <c r="H1152" s="412"/>
      <c r="I1152" s="412"/>
      <c r="J1152" s="412"/>
      <c r="K1152" s="498"/>
      <c r="L1152" s="474"/>
      <c r="M1152" s="471"/>
      <c r="N1152" s="419"/>
      <c r="O1152" s="541"/>
      <c r="P1152" s="419"/>
      <c r="Q1152" s="419"/>
      <c r="S1152" s="414" t="str">
        <f t="shared" si="137"/>
        <v>LASTRO DE PEDRA BRITADA E FUNDAÇÕES EM BALDRAME.</v>
      </c>
    </row>
    <row r="1153" spans="1:19" s="344" customFormat="1">
      <c r="A1153" s="49" t="s">
        <v>417</v>
      </c>
      <c r="B1153" s="49">
        <f>'[3]Plan Tron'!B18</f>
        <v>6514</v>
      </c>
      <c r="C1153" s="49" t="str">
        <f>'[3]Plan Tron'!C18</f>
        <v>SINAPI</v>
      </c>
      <c r="D1153" s="118" t="str">
        <f>'[3]Plan Tron'!D18</f>
        <v xml:space="preserve">FORNECIMENTO E LANCAMENTO DE BRITA N. 4 </v>
      </c>
      <c r="E1153" s="77" t="str">
        <f>'[3]Plan Tron'!E18</f>
        <v>M³</v>
      </c>
      <c r="F1153" s="21">
        <v>2.77</v>
      </c>
      <c r="G1153" s="9">
        <f>G78</f>
        <v>74.28</v>
      </c>
      <c r="H1153" s="9">
        <f>'[3]Plan Tron'!F18</f>
        <v>88.38</v>
      </c>
      <c r="I1153" s="9">
        <v>26.44</v>
      </c>
      <c r="J1153" s="9">
        <f>ROUND(H1153*(I1153/100+1),2)</f>
        <v>111.75</v>
      </c>
      <c r="K1153" s="383">
        <v>0</v>
      </c>
      <c r="L1153" s="474">
        <f>F1153-K1153</f>
        <v>2.77</v>
      </c>
      <c r="M1153" s="471">
        <f t="shared" si="136"/>
        <v>309.55</v>
      </c>
      <c r="N1153" s="405"/>
      <c r="O1153" s="541"/>
      <c r="P1153" s="405"/>
      <c r="Q1153" s="405"/>
      <c r="S1153" s="344" t="str">
        <f t="shared" si="137"/>
        <v xml:space="preserve">FORNECIMENTO E LANCAMENTO DE BRITA N. 4 </v>
      </c>
    </row>
    <row r="1154" spans="1:19" s="414" customFormat="1">
      <c r="A1154" s="410" t="s">
        <v>8</v>
      </c>
      <c r="B1154" s="646"/>
      <c r="C1154" s="410"/>
      <c r="D1154" s="647" t="s">
        <v>2058</v>
      </c>
      <c r="E1154" s="648"/>
      <c r="F1154" s="649"/>
      <c r="G1154" s="412"/>
      <c r="H1154" s="412"/>
      <c r="I1154" s="412"/>
      <c r="J1154" s="9"/>
      <c r="K1154" s="498"/>
      <c r="L1154" s="474"/>
      <c r="M1154" s="471"/>
      <c r="N1154" s="419"/>
      <c r="O1154" s="541"/>
      <c r="P1154" s="419"/>
      <c r="Q1154" s="419"/>
      <c r="S1154" s="414" t="str">
        <f t="shared" si="137"/>
        <v>FORMAS / CIMBRAMENTOS / ESCORAMENTOS</v>
      </c>
    </row>
    <row r="1155" spans="1:19" s="344" customFormat="1">
      <c r="A1155" s="49" t="s">
        <v>317</v>
      </c>
      <c r="B1155" s="49">
        <f>'[3]Plan Tron'!B20</f>
        <v>5651</v>
      </c>
      <c r="C1155" s="49" t="str">
        <f>'[3]Plan Tron'!C20</f>
        <v>SINAPI</v>
      </c>
      <c r="D1155" s="115" t="str">
        <f>'[3]Plan Tron'!D20</f>
        <v>FORMA DE MADEIRA COMUM PARA FUNDAÇÕES - REAPROVEITAMENTO 5X.</v>
      </c>
      <c r="E1155" s="675" t="str">
        <f>'[3]Plan Tron'!E20</f>
        <v>M²</v>
      </c>
      <c r="F1155" s="21">
        <v>34.21</v>
      </c>
      <c r="G1155" s="9">
        <v>22.96</v>
      </c>
      <c r="H1155" s="9">
        <f>'[3]Plan Tron'!F20</f>
        <v>29.01</v>
      </c>
      <c r="I1155" s="9">
        <v>26.44</v>
      </c>
      <c r="J1155" s="9">
        <f t="shared" ref="J1155:J1164" si="138">ROUND(H1155*(I1155/100+1),2)</f>
        <v>36.68</v>
      </c>
      <c r="K1155" s="383">
        <v>0</v>
      </c>
      <c r="L1155" s="474">
        <f>F1155-K1155</f>
        <v>34.21</v>
      </c>
      <c r="M1155" s="471">
        <f t="shared" si="136"/>
        <v>1254.82</v>
      </c>
      <c r="N1155" s="405"/>
      <c r="O1155" s="541"/>
      <c r="P1155" s="405"/>
      <c r="Q1155" s="405"/>
      <c r="S1155" s="344" t="str">
        <f t="shared" si="137"/>
        <v>FORMA DE MADEIRA COMUM PARA FUNDAÇÕES - REAPROVEITAMENTO 5X.</v>
      </c>
    </row>
    <row r="1156" spans="1:19" s="344" customFormat="1">
      <c r="A1156" s="49" t="s">
        <v>316</v>
      </c>
      <c r="B1156" s="49">
        <f>'[3]Plan Tron'!B163</f>
        <v>92265</v>
      </c>
      <c r="C1156" s="49" t="str">
        <f>'[3]Plan Tron'!C163</f>
        <v>SINAPI</v>
      </c>
      <c r="D1156" s="160" t="str">
        <f>'[3]Plan Tron'!D163</f>
        <v>FABRICAÇÃO DE FÔRMA PARA VIGAS, EM CHAPA DE MADEIRA COMPENSADA RESINADA, E = 17 MM. AF_12/2015</v>
      </c>
      <c r="E1156" s="675" t="str">
        <f>'[3]Plan Tron'!E163</f>
        <v>M²</v>
      </c>
      <c r="F1156" s="21">
        <v>17.149999999999999</v>
      </c>
      <c r="G1156" s="9">
        <v>29.81</v>
      </c>
      <c r="H1156" s="9">
        <f>'[3]Plan Tron'!F163</f>
        <v>61.61</v>
      </c>
      <c r="I1156" s="9">
        <v>26.44</v>
      </c>
      <c r="J1156" s="9">
        <f t="shared" si="138"/>
        <v>77.900000000000006</v>
      </c>
      <c r="K1156" s="383">
        <v>0</v>
      </c>
      <c r="L1156" s="474">
        <f>F1156-K1156</f>
        <v>17.149999999999999</v>
      </c>
      <c r="M1156" s="471">
        <f t="shared" si="136"/>
        <v>1335.99</v>
      </c>
      <c r="N1156" s="405"/>
      <c r="O1156" s="541"/>
      <c r="P1156" s="405"/>
      <c r="Q1156" s="405"/>
      <c r="S1156" s="344" t="str">
        <f t="shared" si="137"/>
        <v>FABRICAÇÃO DE FÔRMA PARA VIGAS, EM CHAPA DE MADEIRA COMPENSADA RESINADA, E = 17 MM. AF_12/2015</v>
      </c>
    </row>
    <row r="1157" spans="1:19" s="414" customFormat="1">
      <c r="A1157" s="410" t="s">
        <v>7</v>
      </c>
      <c r="B1157" s="673"/>
      <c r="C1157" s="410"/>
      <c r="D1157" s="637" t="s">
        <v>2059</v>
      </c>
      <c r="E1157" s="638"/>
      <c r="F1157" s="639"/>
      <c r="G1157" s="412"/>
      <c r="H1157" s="412"/>
      <c r="I1157" s="412"/>
      <c r="J1157" s="9"/>
      <c r="K1157" s="498"/>
      <c r="L1157" s="474"/>
      <c r="M1157" s="471"/>
      <c r="N1157" s="419"/>
      <c r="O1157" s="541"/>
      <c r="P1157" s="419"/>
      <c r="Q1157" s="419"/>
      <c r="S1157" s="414" t="str">
        <f t="shared" si="137"/>
        <v>ARMADURAS</v>
      </c>
    </row>
    <row r="1158" spans="1:19" s="414" customFormat="1">
      <c r="A1158" s="410" t="s">
        <v>314</v>
      </c>
      <c r="B1158" s="673"/>
      <c r="C1158" s="410"/>
      <c r="D1158" s="637" t="s">
        <v>2060</v>
      </c>
      <c r="E1158" s="638"/>
      <c r="F1158" s="436"/>
      <c r="G1158" s="412"/>
      <c r="H1158" s="412"/>
      <c r="I1158" s="412"/>
      <c r="J1158" s="9"/>
      <c r="K1158" s="498"/>
      <c r="L1158" s="474"/>
      <c r="M1158" s="471"/>
      <c r="N1158" s="419"/>
      <c r="O1158" s="541"/>
      <c r="P1158" s="419"/>
      <c r="Q1158" s="419"/>
      <c r="S1158" s="414" t="str">
        <f t="shared" si="137"/>
        <v>ARMAÇÃO EM AÇO CA-50 PARA ESTRUTURAS DE CONCRETO.</v>
      </c>
    </row>
    <row r="1159" spans="1:19" s="344" customFormat="1" ht="25.5">
      <c r="A1159" s="49" t="s">
        <v>313</v>
      </c>
      <c r="B1159" s="49">
        <f>'[3]Plan Tron'!B21</f>
        <v>92761</v>
      </c>
      <c r="C1159" s="49" t="str">
        <f>'[3]Plan Tron'!C21</f>
        <v>SINAPI</v>
      </c>
      <c r="D1159" s="118" t="str">
        <f>'[3]Plan Tron'!D21</f>
        <v>ARMAÇÃO DE PILAR OU VIGA DE UMA ESTRUTURA CONVENCIONAL DE CONCRETO ARMADO EM UM EDIFÍCIO DE MÚLTIPLOS PAVIMENTOS UTILIZANDO AÇO CA-50 DE 8.0MM - MONTAGEM. AF_12/2015</v>
      </c>
      <c r="E1159" s="678" t="str">
        <f>'[3]Plan Tron'!E21</f>
        <v>KG</v>
      </c>
      <c r="F1159" s="21">
        <v>1321</v>
      </c>
      <c r="G1159" s="9">
        <f>G85</f>
        <v>5.9</v>
      </c>
      <c r="H1159" s="9">
        <f>'[3]Plan Tron'!F21</f>
        <v>9.44</v>
      </c>
      <c r="I1159" s="9">
        <v>26.44</v>
      </c>
      <c r="J1159" s="9">
        <f t="shared" si="138"/>
        <v>11.94</v>
      </c>
      <c r="K1159" s="383">
        <v>0</v>
      </c>
      <c r="L1159" s="474">
        <f>F1159-K1159</f>
        <v>1321</v>
      </c>
      <c r="M1159" s="471">
        <f t="shared" si="136"/>
        <v>15772.74</v>
      </c>
      <c r="N1159" s="405"/>
      <c r="O1159" s="541"/>
      <c r="P1159" s="405"/>
      <c r="Q1159" s="405"/>
      <c r="S1159" s="344" t="str">
        <f t="shared" si="137"/>
        <v>ARMAÇÃO DE PILAR OU VIGA DE UMA ESTRUTURA CONVENCIONAL DE CONCRETO ARMADO EM UM EDIFÍCIO DE MÚLTIPLOS PAVIMENTOS UTILIZANDO AÇO CA-50 DE 8.0MM - MONTAGEM. AF_12/2015</v>
      </c>
    </row>
    <row r="1160" spans="1:19" s="414" customFormat="1">
      <c r="A1160" s="410" t="s">
        <v>6</v>
      </c>
      <c r="B1160" s="646"/>
      <c r="C1160" s="410"/>
      <c r="D1160" s="647" t="s">
        <v>2061</v>
      </c>
      <c r="E1160" s="648"/>
      <c r="F1160" s="649"/>
      <c r="G1160" s="412"/>
      <c r="H1160" s="412"/>
      <c r="I1160" s="412"/>
      <c r="J1160" s="9"/>
      <c r="K1160" s="498"/>
      <c r="L1160" s="474"/>
      <c r="M1160" s="471"/>
      <c r="N1160" s="419"/>
      <c r="O1160" s="541"/>
      <c r="P1160" s="419"/>
      <c r="Q1160" s="419"/>
      <c r="S1160" s="414" t="str">
        <f t="shared" si="137"/>
        <v>CONCRETOS</v>
      </c>
    </row>
    <row r="1161" spans="1:19" s="344" customFormat="1">
      <c r="A1161" s="49" t="s">
        <v>311</v>
      </c>
      <c r="B1161" s="49">
        <f>'[3]Plan Tron'!B22</f>
        <v>110402</v>
      </c>
      <c r="C1161" s="49" t="str">
        <f>'[3]Plan Tron'!C22</f>
        <v>CPOS</v>
      </c>
      <c r="D1161" s="179" t="str">
        <f>UPPER('[3]Plan Tron'!D22)</f>
        <v>CONCRETO NÃO ESTRUTURAL EXECUTADO NO LOCAL, MÍNIMO 150 KG CIMENTO / M³</v>
      </c>
      <c r="E1161" s="675" t="str">
        <f>'[3]Plan Tron'!E22</f>
        <v>M³</v>
      </c>
      <c r="F1161" s="21">
        <v>0.61</v>
      </c>
      <c r="G1161" s="9">
        <v>208.25</v>
      </c>
      <c r="H1161" s="9">
        <f>'[3]Plan Tron'!F22</f>
        <v>208.91</v>
      </c>
      <c r="I1161" s="9">
        <v>26.44</v>
      </c>
      <c r="J1161" s="9">
        <f t="shared" si="138"/>
        <v>264.14999999999998</v>
      </c>
      <c r="K1161" s="383">
        <v>0</v>
      </c>
      <c r="L1161" s="474">
        <f>F1161-K1161</f>
        <v>0.61</v>
      </c>
      <c r="M1161" s="471">
        <f t="shared" si="136"/>
        <v>161.13</v>
      </c>
      <c r="N1161" s="405"/>
      <c r="O1161" s="541"/>
      <c r="P1161" s="405"/>
      <c r="Q1161" s="405"/>
      <c r="S1161" s="344" t="str">
        <f t="shared" si="137"/>
        <v>CONCRETO NÃO ESTRUTURAL EXECUTADO NO LOCAL, MÍNIMO 150 KG CIMENTO / M³</v>
      </c>
    </row>
    <row r="1162" spans="1:19" s="344" customFormat="1">
      <c r="A1162" s="144" t="s">
        <v>710</v>
      </c>
      <c r="B1162" s="49">
        <f>'[3]Plan Tron'!B23</f>
        <v>110404</v>
      </c>
      <c r="C1162" s="49" t="str">
        <f>'[3]Plan Tron'!C23</f>
        <v>CPOS</v>
      </c>
      <c r="D1162" s="680" t="str">
        <f>UPPER('[3]Plan Tron'!D23)</f>
        <v>CONCRETO NÃO ESTRUTURAL EXECUTADO NO LOCAL, MÍNIMO 200 KG CIMENTO / M³</v>
      </c>
      <c r="E1162" s="681" t="str">
        <f>'[3]Plan Tron'!E23</f>
        <v>M³</v>
      </c>
      <c r="F1162" s="164">
        <v>9.4499999999999993</v>
      </c>
      <c r="G1162" s="164">
        <v>238.25</v>
      </c>
      <c r="H1162" s="164">
        <f>'[3]Plan Tron'!F23</f>
        <v>231.91</v>
      </c>
      <c r="I1162" s="9">
        <v>26.44</v>
      </c>
      <c r="J1162" s="9">
        <f t="shared" si="138"/>
        <v>293.23</v>
      </c>
      <c r="K1162" s="383">
        <v>0</v>
      </c>
      <c r="L1162" s="474">
        <f>F1162-K1162</f>
        <v>9.4499999999999993</v>
      </c>
      <c r="M1162" s="471">
        <f t="shared" si="136"/>
        <v>2771.02</v>
      </c>
      <c r="N1162" s="405"/>
      <c r="O1162" s="541"/>
      <c r="P1162" s="405"/>
      <c r="Q1162" s="405"/>
      <c r="S1162" s="344" t="str">
        <f t="shared" si="137"/>
        <v>CONCRETO NÃO ESTRUTURAL EXECUTADO NO LOCAL, MÍNIMO 200 KG CIMENTO / M³</v>
      </c>
    </row>
    <row r="1163" spans="1:19" s="414" customFormat="1">
      <c r="A1163" s="410" t="s">
        <v>971</v>
      </c>
      <c r="B1163" s="673"/>
      <c r="C1163" s="410"/>
      <c r="D1163" s="637" t="s">
        <v>2062</v>
      </c>
      <c r="E1163" s="638"/>
      <c r="F1163" s="436"/>
      <c r="G1163" s="412"/>
      <c r="H1163" s="412"/>
      <c r="I1163" s="412"/>
      <c r="J1163" s="9"/>
      <c r="K1163" s="498"/>
      <c r="L1163" s="474"/>
      <c r="M1163" s="471"/>
      <c r="N1163" s="419"/>
      <c r="O1163" s="541"/>
      <c r="P1163" s="419"/>
      <c r="Q1163" s="419"/>
      <c r="S1163" s="414" t="str">
        <f t="shared" si="137"/>
        <v>CONCRETO BOMBEADO</v>
      </c>
    </row>
    <row r="1164" spans="1:19" s="344" customFormat="1">
      <c r="A1164" s="49" t="s">
        <v>969</v>
      </c>
      <c r="B1164" s="49">
        <f>'[3]Plan Tron'!B27</f>
        <v>110132</v>
      </c>
      <c r="C1164" s="49" t="str">
        <f>'[3]Plan Tron'!C27</f>
        <v>CPOS</v>
      </c>
      <c r="D1164" s="118" t="str">
        <f>'[3]Plan Tron'!D27</f>
        <v xml:space="preserve">CONCRETO USINADO, FCK=30MPa - PARA BOMBEAMENTO </v>
      </c>
      <c r="E1164" s="678" t="str">
        <f>'[3]Plan Tron'!E27</f>
        <v>M³</v>
      </c>
      <c r="F1164" s="21">
        <v>11.48</v>
      </c>
      <c r="G1164" s="9">
        <v>336.65</v>
      </c>
      <c r="H1164" s="9">
        <f>'[3]Plan Tron'!F27</f>
        <v>311.94</v>
      </c>
      <c r="I1164" s="9">
        <v>26.44</v>
      </c>
      <c r="J1164" s="9">
        <f t="shared" si="138"/>
        <v>394.42</v>
      </c>
      <c r="K1164" s="383">
        <v>0</v>
      </c>
      <c r="L1164" s="474">
        <f>F1164-K1164</f>
        <v>11.48</v>
      </c>
      <c r="M1164" s="471">
        <f t="shared" si="136"/>
        <v>4527.9399999999996</v>
      </c>
      <c r="N1164" s="405"/>
      <c r="O1164" s="541"/>
      <c r="P1164" s="405"/>
      <c r="Q1164" s="405"/>
      <c r="S1164" s="344" t="str">
        <f t="shared" si="137"/>
        <v xml:space="preserve">CONCRETO USINADO, FCK=30MPA - PARA BOMBEAMENTO </v>
      </c>
    </row>
    <row r="1165" spans="1:19" s="344" customFormat="1">
      <c r="A1165" s="49"/>
      <c r="B1165" s="17"/>
      <c r="C1165" s="49"/>
      <c r="D1165" s="17"/>
      <c r="E1165" s="7"/>
      <c r="F1165" s="10"/>
      <c r="G1165" s="314"/>
      <c r="H1165" s="27"/>
      <c r="I1165" s="9"/>
      <c r="J1165" s="9"/>
      <c r="K1165" s="17"/>
      <c r="L1165" s="474"/>
      <c r="M1165" s="471"/>
      <c r="N1165" s="405"/>
      <c r="O1165" s="541"/>
      <c r="P1165" s="405"/>
      <c r="Q1165" s="405"/>
    </row>
    <row r="1166" spans="1:19" s="344" customFormat="1">
      <c r="A1166" s="49"/>
      <c r="B1166" s="17"/>
      <c r="C1166" s="49"/>
      <c r="D1166" s="53" t="s">
        <v>76</v>
      </c>
      <c r="E1166" s="7"/>
      <c r="F1166" s="10"/>
      <c r="G1166" s="314"/>
      <c r="H1166" s="27"/>
      <c r="I1166" s="9"/>
      <c r="J1166" s="9"/>
      <c r="K1166" s="383"/>
      <c r="L1166" s="474"/>
      <c r="M1166" s="471"/>
      <c r="N1166" s="405"/>
      <c r="O1166" s="541"/>
      <c r="P1166" s="405"/>
      <c r="Q1166" s="405"/>
      <c r="S1166" s="344" t="str">
        <f t="shared" ref="S1166:S1172" si="139">UPPER(D1166)</f>
        <v/>
      </c>
    </row>
    <row r="1167" spans="1:19" s="344" customFormat="1">
      <c r="A1167" s="49"/>
      <c r="B1167" s="17"/>
      <c r="C1167" s="49"/>
      <c r="D1167" s="53" t="s">
        <v>76</v>
      </c>
      <c r="E1167" s="7"/>
      <c r="F1167" s="10"/>
      <c r="G1167" s="314"/>
      <c r="H1167" s="27"/>
      <c r="I1167" s="9"/>
      <c r="J1167" s="9"/>
      <c r="K1167" s="383"/>
      <c r="L1167" s="474"/>
      <c r="M1167" s="471"/>
      <c r="N1167" s="405"/>
      <c r="O1167" s="541"/>
      <c r="P1167" s="405"/>
      <c r="Q1167" s="405"/>
      <c r="S1167" s="344" t="str">
        <f t="shared" si="139"/>
        <v/>
      </c>
    </row>
    <row r="1168" spans="1:19" s="344" customFormat="1">
      <c r="A1168" s="45">
        <v>3</v>
      </c>
      <c r="B1168" s="17"/>
      <c r="C1168" s="45"/>
      <c r="D1168" s="53" t="s">
        <v>2067</v>
      </c>
      <c r="E1168" s="7"/>
      <c r="F1168" s="10"/>
      <c r="G1168" s="27"/>
      <c r="H1168" s="27"/>
      <c r="I1168" s="9"/>
      <c r="J1168" s="9"/>
      <c r="K1168" s="383"/>
      <c r="L1168" s="474"/>
      <c r="M1168" s="471"/>
      <c r="N1168" s="405"/>
      <c r="O1168" s="541"/>
      <c r="P1168" s="405"/>
      <c r="Q1168" s="405"/>
      <c r="S1168" s="344" t="str">
        <f t="shared" si="139"/>
        <v>PAREDES / PAINÉIS</v>
      </c>
    </row>
    <row r="1169" spans="1:19" s="414" customFormat="1">
      <c r="A1169" s="410" t="s">
        <v>144</v>
      </c>
      <c r="B1169" s="411"/>
      <c r="C1169" s="410"/>
      <c r="D1169" s="429" t="s">
        <v>2068</v>
      </c>
      <c r="E1169" s="617"/>
      <c r="F1169" s="413"/>
      <c r="G1169" s="619"/>
      <c r="H1169" s="619"/>
      <c r="I1169" s="412"/>
      <c r="J1169" s="412"/>
      <c r="K1169" s="498"/>
      <c r="L1169" s="474"/>
      <c r="M1169" s="471"/>
      <c r="N1169" s="419"/>
      <c r="O1169" s="541"/>
      <c r="P1169" s="419"/>
      <c r="Q1169" s="419"/>
      <c r="S1169" s="414" t="str">
        <f t="shared" si="139"/>
        <v>ALVENARIA DE BLOCOS DE CONCRETO</v>
      </c>
    </row>
    <row r="1170" spans="1:19" s="414" customFormat="1">
      <c r="A1170" s="410" t="s">
        <v>143</v>
      </c>
      <c r="B1170" s="411"/>
      <c r="C1170" s="410"/>
      <c r="D1170" s="429" t="s">
        <v>2069</v>
      </c>
      <c r="E1170" s="617"/>
      <c r="F1170" s="413"/>
      <c r="G1170" s="619"/>
      <c r="H1170" s="619"/>
      <c r="I1170" s="412"/>
      <c r="J1170" s="412"/>
      <c r="K1170" s="498"/>
      <c r="L1170" s="474"/>
      <c r="M1170" s="471"/>
      <c r="N1170" s="419"/>
      <c r="O1170" s="541"/>
      <c r="P1170" s="419"/>
      <c r="Q1170" s="419"/>
      <c r="S1170" s="414" t="str">
        <f t="shared" si="139"/>
        <v>ALVENARIA DE BLOCO DE CONCRETO</v>
      </c>
    </row>
    <row r="1171" spans="1:19" s="344" customFormat="1" ht="25.5">
      <c r="A1171" s="49" t="s">
        <v>343</v>
      </c>
      <c r="B1171" s="11" t="s">
        <v>1358</v>
      </c>
      <c r="C1171" s="49" t="s">
        <v>2015</v>
      </c>
      <c r="D1171" s="130" t="s">
        <v>2250</v>
      </c>
      <c r="E1171" s="7" t="s">
        <v>2332</v>
      </c>
      <c r="F1171" s="10">
        <v>9.14</v>
      </c>
      <c r="G1171" s="9">
        <v>38.56</v>
      </c>
      <c r="H1171" s="9">
        <f t="shared" ref="H1171" si="140">G1171*$P$7</f>
        <v>44.548368000000004</v>
      </c>
      <c r="I1171" s="9">
        <v>26.44</v>
      </c>
      <c r="J1171" s="9">
        <f>ROUND(H1171*(I1171/100+1),2)</f>
        <v>56.33</v>
      </c>
      <c r="K1171" s="383">
        <v>0</v>
      </c>
      <c r="L1171" s="474">
        <f>F1171-K1171</f>
        <v>9.14</v>
      </c>
      <c r="M1171" s="471">
        <f t="shared" si="136"/>
        <v>514.86</v>
      </c>
      <c r="N1171" s="405"/>
      <c r="O1171" s="541"/>
      <c r="P1171" s="405"/>
      <c r="Q1171" s="405"/>
      <c r="S1171" s="344" t="str">
        <f t="shared" si="139"/>
        <v>ALVENARIA DE BLOCOS DE CONCRETO ESTRUTURAL TIPO CANALETA 9 X 19 X 19CM, ASSENTADOS COM ARGAMASSA TRAÇO 1:0,25:4 (CIMENTO, CAL E AREIA).</v>
      </c>
    </row>
    <row r="1172" spans="1:19" s="344" customFormat="1" ht="38.25">
      <c r="A1172" s="49" t="s">
        <v>934</v>
      </c>
      <c r="B1172" s="49">
        <f>'[3]Plan Tron'!B77</f>
        <v>87455</v>
      </c>
      <c r="C1172" s="49" t="str">
        <f>'[3]Plan Tron'!C77</f>
        <v>SINAPI</v>
      </c>
      <c r="D1172" s="130" t="str">
        <f>'[3]Plan Tron'!D77</f>
        <v>ALVENARIA DE VEDAÇÃO DE BLOCOS VAZADOS DE CONCRETO DE 14X19X39CM (ESPESSURA 14CM) DE PAREDES COM ÁREA LÍQUIDA MAIOR OU IGUAL A 6M² SEM VÃOS E ARGAMASSA DE ASSENTAMENTO COM PREPARO EM BETONEIRA. AF_06/2014</v>
      </c>
      <c r="E1172" s="77" t="str">
        <f>'[3]Plan Tron'!E77</f>
        <v>M²</v>
      </c>
      <c r="F1172" s="10">
        <v>24.7</v>
      </c>
      <c r="G1172" s="9">
        <v>41.22</v>
      </c>
      <c r="H1172" s="9">
        <f>'[3]Plan Tron'!F77</f>
        <v>54.23</v>
      </c>
      <c r="I1172" s="9">
        <v>26.44</v>
      </c>
      <c r="J1172" s="9">
        <f>ROUND(H1172*(I1172/100+1),2)</f>
        <v>68.569999999999993</v>
      </c>
      <c r="K1172" s="383">
        <v>0</v>
      </c>
      <c r="L1172" s="474">
        <f>F1172-K1172</f>
        <v>24.7</v>
      </c>
      <c r="M1172" s="471">
        <f t="shared" si="136"/>
        <v>1693.68</v>
      </c>
      <c r="N1172" s="405"/>
      <c r="O1172" s="541"/>
      <c r="P1172" s="405"/>
      <c r="Q1172" s="405"/>
      <c r="S1172" s="344" t="str">
        <f t="shared" si="139"/>
        <v>ALVENARIA DE VEDAÇÃO DE BLOCOS VAZADOS DE CONCRETO DE 14X19X39CM (ESPESSURA 14CM) DE PAREDES COM ÁREA LÍQUIDA MAIOR OU IGUAL A 6M² SEM VÃOS E ARGAMASSA DE ASSENTAMENTO COM PREPARO EM BETONEIRA. AF_06/2014</v>
      </c>
    </row>
    <row r="1173" spans="1:19" s="344" customFormat="1">
      <c r="A1173" s="49"/>
      <c r="B1173" s="17"/>
      <c r="C1173" s="49"/>
      <c r="D1173" s="17"/>
      <c r="E1173" s="7"/>
      <c r="F1173" s="10"/>
      <c r="G1173" s="9"/>
      <c r="H1173" s="9"/>
      <c r="I1173" s="9"/>
      <c r="J1173" s="9"/>
      <c r="K1173" s="17"/>
      <c r="L1173" s="474"/>
      <c r="M1173" s="471"/>
      <c r="N1173" s="405"/>
      <c r="O1173" s="541"/>
      <c r="P1173" s="405"/>
      <c r="Q1173" s="405"/>
    </row>
    <row r="1174" spans="1:19" s="344" customFormat="1">
      <c r="A1174" s="49"/>
      <c r="B1174" s="17"/>
      <c r="C1174" s="49"/>
      <c r="D1174" s="53" t="s">
        <v>76</v>
      </c>
      <c r="E1174" s="7"/>
      <c r="F1174" s="10"/>
      <c r="G1174" s="9"/>
      <c r="H1174" s="9"/>
      <c r="I1174" s="9"/>
      <c r="J1174" s="9"/>
      <c r="K1174" s="383"/>
      <c r="L1174" s="474"/>
      <c r="M1174" s="471"/>
      <c r="N1174" s="405"/>
      <c r="O1174" s="541"/>
      <c r="P1174" s="405"/>
      <c r="Q1174" s="405"/>
      <c r="S1174" s="344" t="str">
        <f t="shared" ref="S1174:S1179" si="141">UPPER(D1174)</f>
        <v/>
      </c>
    </row>
    <row r="1175" spans="1:19" s="344" customFormat="1">
      <c r="A1175" s="45">
        <v>4</v>
      </c>
      <c r="B1175" s="17"/>
      <c r="C1175" s="45"/>
      <c r="D1175" s="53" t="s">
        <v>2125</v>
      </c>
      <c r="E1175" s="7"/>
      <c r="F1175" s="10"/>
      <c r="G1175" s="27"/>
      <c r="H1175" s="27"/>
      <c r="I1175" s="9"/>
      <c r="J1175" s="9"/>
      <c r="K1175" s="383"/>
      <c r="L1175" s="474"/>
      <c r="M1175" s="471"/>
      <c r="N1175" s="405"/>
      <c r="O1175" s="541"/>
      <c r="P1175" s="405"/>
      <c r="Q1175" s="405"/>
      <c r="S1175" s="344" t="str">
        <f t="shared" si="141"/>
        <v>COBERTURA</v>
      </c>
    </row>
    <row r="1176" spans="1:19" s="414" customFormat="1">
      <c r="A1176" s="410" t="s">
        <v>139</v>
      </c>
      <c r="B1176" s="411"/>
      <c r="C1176" s="410"/>
      <c r="D1176" s="429" t="s">
        <v>2251</v>
      </c>
      <c r="E1176" s="617"/>
      <c r="F1176" s="413"/>
      <c r="G1176" s="619"/>
      <c r="H1176" s="619"/>
      <c r="I1176" s="412"/>
      <c r="J1176" s="412"/>
      <c r="K1176" s="498"/>
      <c r="L1176" s="474"/>
      <c r="M1176" s="471"/>
      <c r="N1176" s="419"/>
      <c r="O1176" s="541"/>
      <c r="P1176" s="419"/>
      <c r="Q1176" s="419"/>
      <c r="S1176" s="414" t="str">
        <f t="shared" si="141"/>
        <v>MADEIRAMENTO</v>
      </c>
    </row>
    <row r="1177" spans="1:19" s="344" customFormat="1">
      <c r="A1177" s="49" t="s">
        <v>138</v>
      </c>
      <c r="B1177" s="16">
        <f>'[3]Plan Tron'!B164</f>
        <v>150102</v>
      </c>
      <c r="C1177" s="49" t="str">
        <f>'[3]Plan Tron'!C164</f>
        <v>CPOS</v>
      </c>
      <c r="D1177" s="654" t="str">
        <f>UPPER('[3]Plan Tron'!D164)</f>
        <v>ESTRUTURA DE MADEIRA TESOURADA PARA TELHA DE BARRO - VÃOS DE 7,01 A 10,00 M</v>
      </c>
      <c r="E1177" s="77" t="str">
        <f>'[3]Plan Tron'!E164</f>
        <v>M²</v>
      </c>
      <c r="F1177" s="21">
        <v>47.96</v>
      </c>
      <c r="G1177" s="27">
        <v>37.409999999999997</v>
      </c>
      <c r="H1177" s="27">
        <f>'[3]Plan Tron'!F164</f>
        <v>84.26</v>
      </c>
      <c r="I1177" s="9">
        <v>26.44</v>
      </c>
      <c r="J1177" s="9">
        <f>ROUND(H1177*(I1177/100+1),2)</f>
        <v>106.54</v>
      </c>
      <c r="K1177" s="383">
        <v>0</v>
      </c>
      <c r="L1177" s="474">
        <f>F1177-K1177</f>
        <v>47.96</v>
      </c>
      <c r="M1177" s="471">
        <f t="shared" si="136"/>
        <v>5109.66</v>
      </c>
      <c r="N1177" s="405"/>
      <c r="O1177" s="541"/>
      <c r="P1177" s="405"/>
      <c r="Q1177" s="405"/>
      <c r="S1177" s="344" t="str">
        <f t="shared" si="141"/>
        <v>ESTRUTURA DE MADEIRA TESOURADA PARA TELHA DE BARRO - VÃOS DE 7,01 A 10,00 M</v>
      </c>
    </row>
    <row r="1178" spans="1:19" s="414" customFormat="1">
      <c r="A1178" s="410" t="s">
        <v>411</v>
      </c>
      <c r="B1178" s="411"/>
      <c r="C1178" s="410"/>
      <c r="D1178" s="429" t="s">
        <v>2126</v>
      </c>
      <c r="E1178" s="617"/>
      <c r="F1178" s="422"/>
      <c r="G1178" s="619"/>
      <c r="H1178" s="619"/>
      <c r="I1178" s="412"/>
      <c r="J1178" s="412"/>
      <c r="K1178" s="498"/>
      <c r="L1178" s="474"/>
      <c r="M1178" s="471"/>
      <c r="N1178" s="419"/>
      <c r="O1178" s="541"/>
      <c r="P1178" s="419"/>
      <c r="Q1178" s="419"/>
      <c r="S1178" s="414" t="str">
        <f t="shared" si="141"/>
        <v>TELHAMENTO COM TELHA DE FIBROCIMENTO</v>
      </c>
    </row>
    <row r="1179" spans="1:19" s="344" customFormat="1" ht="25.5">
      <c r="A1179" s="49" t="s">
        <v>931</v>
      </c>
      <c r="B1179" s="49">
        <f>'[3]Plan Tron'!B85</f>
        <v>94218</v>
      </c>
      <c r="C1179" s="49" t="str">
        <f>'[3]Plan Tron'!C85</f>
        <v>SINAPI</v>
      </c>
      <c r="D1179" s="130" t="str">
        <f>'[3]Plan Tron'!D85</f>
        <v xml:space="preserve"> TELHAMENTO COM TELHA ESTRUTURAL DE FIBROCIMENTO E= 6 MM, COM ATÉ 2 ÁGUAS, INCLUSO IÇAMENTO. AF_06/2016</v>
      </c>
      <c r="E1179" s="77" t="str">
        <f>'[3]Plan Tron'!E85</f>
        <v>M²</v>
      </c>
      <c r="F1179" s="21">
        <v>47.96</v>
      </c>
      <c r="G1179" s="27">
        <v>73.97</v>
      </c>
      <c r="H1179" s="27">
        <f>'[3]Plan Tron'!F85</f>
        <v>84.16</v>
      </c>
      <c r="I1179" s="9">
        <v>26.44</v>
      </c>
      <c r="J1179" s="9">
        <f>ROUND(H1179*(I1179/100+1),2)</f>
        <v>106.41</v>
      </c>
      <c r="K1179" s="383">
        <v>0</v>
      </c>
      <c r="L1179" s="474">
        <f>F1179-K1179</f>
        <v>47.96</v>
      </c>
      <c r="M1179" s="471">
        <f t="shared" si="136"/>
        <v>5103.42</v>
      </c>
      <c r="N1179" s="405"/>
      <c r="O1179" s="541"/>
      <c r="P1179" s="405"/>
      <c r="Q1179" s="405"/>
      <c r="S1179" s="344" t="str">
        <f t="shared" si="141"/>
        <v xml:space="preserve"> TELHAMENTO COM TELHA ESTRUTURAL DE FIBROCIMENTO E= 6 MM, COM ATÉ 2 ÁGUAS, INCLUSO IÇAMENTO. AF_06/2016</v>
      </c>
    </row>
    <row r="1180" spans="1:19" s="344" customFormat="1">
      <c r="A1180" s="49"/>
      <c r="B1180" s="37"/>
      <c r="C1180" s="49"/>
      <c r="D1180" s="17"/>
      <c r="E1180" s="7"/>
      <c r="F1180" s="21"/>
      <c r="G1180" s="9"/>
      <c r="H1180" s="9"/>
      <c r="I1180" s="9"/>
      <c r="J1180" s="9"/>
      <c r="K1180" s="17"/>
      <c r="L1180" s="474"/>
      <c r="M1180" s="471"/>
      <c r="N1180" s="405"/>
      <c r="O1180" s="541"/>
      <c r="P1180" s="405"/>
      <c r="Q1180" s="405"/>
    </row>
    <row r="1181" spans="1:19" s="344" customFormat="1">
      <c r="A1181" s="49"/>
      <c r="B1181" s="37"/>
      <c r="C1181" s="49"/>
      <c r="D1181" s="53" t="s">
        <v>76</v>
      </c>
      <c r="E1181" s="7"/>
      <c r="F1181" s="21"/>
      <c r="G1181" s="9"/>
      <c r="H1181" s="9"/>
      <c r="I1181" s="9"/>
      <c r="J1181" s="9"/>
      <c r="K1181" s="383"/>
      <c r="L1181" s="474"/>
      <c r="M1181" s="471"/>
      <c r="N1181" s="405"/>
      <c r="O1181" s="541"/>
      <c r="P1181" s="405"/>
      <c r="Q1181" s="405"/>
      <c r="S1181" s="344" t="str">
        <f t="shared" ref="S1181:S1187" si="142">UPPER(D1181)</f>
        <v/>
      </c>
    </row>
    <row r="1182" spans="1:19" s="344" customFormat="1">
      <c r="A1182" s="45">
        <v>5</v>
      </c>
      <c r="B1182" s="17"/>
      <c r="C1182" s="45"/>
      <c r="D1182" s="53" t="s">
        <v>2189</v>
      </c>
      <c r="E1182" s="7"/>
      <c r="F1182" s="10"/>
      <c r="G1182" s="27"/>
      <c r="H1182" s="27"/>
      <c r="I1182" s="9"/>
      <c r="J1182" s="9"/>
      <c r="K1182" s="383"/>
      <c r="L1182" s="474"/>
      <c r="M1182" s="471"/>
      <c r="N1182" s="405"/>
      <c r="O1182" s="541"/>
      <c r="P1182" s="405"/>
      <c r="Q1182" s="405"/>
      <c r="S1182" s="344" t="str">
        <f t="shared" si="142"/>
        <v>REVESTIMENTO E TRATAMENTO DE SUPERFÍCIES</v>
      </c>
    </row>
    <row r="1183" spans="1:19" s="414" customFormat="1">
      <c r="A1183" s="410" t="s">
        <v>136</v>
      </c>
      <c r="B1183" s="411"/>
      <c r="C1183" s="410"/>
      <c r="D1183" s="429" t="s">
        <v>2252</v>
      </c>
      <c r="E1183" s="617"/>
      <c r="F1183" s="413"/>
      <c r="G1183" s="619"/>
      <c r="H1183" s="619"/>
      <c r="I1183" s="412"/>
      <c r="J1183" s="412"/>
      <c r="K1183" s="498"/>
      <c r="L1183" s="474"/>
      <c r="M1183" s="471"/>
      <c r="N1183" s="419"/>
      <c r="O1183" s="541"/>
      <c r="P1183" s="419"/>
      <c r="Q1183" s="419"/>
      <c r="S1183" s="414" t="str">
        <f t="shared" si="142"/>
        <v>PASTILHAS, CERÂMICAS, PLACAS PRÉ-MOLDADAS E OUTROS.</v>
      </c>
    </row>
    <row r="1184" spans="1:19" s="344" customFormat="1">
      <c r="A1184" s="49" t="s">
        <v>135</v>
      </c>
      <c r="B1184" s="49">
        <f>'[3]Plan Tron'!B191</f>
        <v>190309</v>
      </c>
      <c r="C1184" s="49" t="str">
        <f>'[3]Plan Tron'!C191</f>
        <v>CPOS</v>
      </c>
      <c r="D1184" s="612" t="str">
        <f>UPPER('[3]Plan Tron'!D191)</f>
        <v xml:space="preserve">REVESTIMENTO EM PEDRA MIRACEMA  </v>
      </c>
      <c r="E1184" s="49" t="str">
        <f>'[3]Plan Tron'!E191</f>
        <v>M²</v>
      </c>
      <c r="F1184" s="10">
        <v>54.65</v>
      </c>
      <c r="G1184" s="27">
        <v>25.74</v>
      </c>
      <c r="H1184" s="27">
        <f>'[3]Plan Tron'!F191</f>
        <v>66.78</v>
      </c>
      <c r="I1184" s="9">
        <v>26.44</v>
      </c>
      <c r="J1184" s="9">
        <f>ROUND(H1184*(I1184/100+1),2)</f>
        <v>84.44</v>
      </c>
      <c r="K1184" s="383">
        <v>0</v>
      </c>
      <c r="L1184" s="474">
        <f>F1184-K1184</f>
        <v>54.65</v>
      </c>
      <c r="M1184" s="471">
        <f t="shared" si="136"/>
        <v>4614.6499999999996</v>
      </c>
      <c r="N1184" s="405"/>
      <c r="O1184" s="541"/>
      <c r="P1184" s="405"/>
      <c r="Q1184" s="405"/>
      <c r="S1184" s="344" t="str">
        <f t="shared" si="142"/>
        <v xml:space="preserve">REVESTIMENTO EM PEDRA MIRACEMA  </v>
      </c>
    </row>
    <row r="1185" spans="1:37" s="414" customFormat="1">
      <c r="A1185" s="410" t="s">
        <v>133</v>
      </c>
      <c r="B1185" s="411"/>
      <c r="C1185" s="410"/>
      <c r="D1185" s="689" t="s">
        <v>2074</v>
      </c>
      <c r="E1185" s="617"/>
      <c r="F1185" s="413"/>
      <c r="G1185" s="671"/>
      <c r="H1185" s="671"/>
      <c r="I1185" s="671"/>
      <c r="J1185" s="671"/>
      <c r="K1185" s="498"/>
      <c r="L1185" s="474"/>
      <c r="M1185" s="471"/>
      <c r="N1185" s="419"/>
      <c r="O1185" s="541"/>
      <c r="P1185" s="419"/>
      <c r="Q1185" s="419"/>
      <c r="S1185" s="414" t="str">
        <f t="shared" si="142"/>
        <v>IMPERMEABILIZAÇÃO COM CIMENTO CRISTALIZADO</v>
      </c>
    </row>
    <row r="1186" spans="1:37" s="414" customFormat="1" ht="25.5">
      <c r="A1186" s="410" t="s">
        <v>132</v>
      </c>
      <c r="B1186" s="411"/>
      <c r="C1186" s="410"/>
      <c r="D1186" s="690" t="s">
        <v>2248</v>
      </c>
      <c r="E1186" s="617"/>
      <c r="F1186" s="413"/>
      <c r="G1186" s="671"/>
      <c r="H1186" s="671"/>
      <c r="I1186" s="671"/>
      <c r="J1186" s="671"/>
      <c r="K1186" s="498"/>
      <c r="L1186" s="474"/>
      <c r="M1186" s="471"/>
      <c r="N1186" s="419"/>
      <c r="O1186" s="541"/>
      <c r="P1186" s="419"/>
      <c r="Q1186" s="419"/>
      <c r="S1186" s="414" t="str">
        <f t="shared" si="142"/>
        <v>CIMENTO ESPECIAL CRISTALIZANTE DENVERLIT C/ EMULSÃO ADESIVA DENVERFIX - DENVER - 1 DEMÃO P/ SUB SOLO / BALDRAMES / GALERIAS / JARDINEIRAS / ETC.</v>
      </c>
    </row>
    <row r="1187" spans="1:37" s="344" customFormat="1">
      <c r="A1187" s="49" t="s">
        <v>131</v>
      </c>
      <c r="B1187" s="49" t="str">
        <f>'[3]Plan Tron'!B33</f>
        <v>73929/001</v>
      </c>
      <c r="C1187" s="49" t="str">
        <f>'[3]Plan Tron'!C33</f>
        <v>SINAPI</v>
      </c>
      <c r="D1187" s="691" t="str">
        <f>'[3]Plan Tron'!D33</f>
        <v>IMPERMEABILIZACAO DE SUPERFICIE COM CIMENTO ESPECIAL CRISTALIZANTE COM ADESIVO LIQUIDO, UMA DEMAO.</v>
      </c>
      <c r="E1187" s="77" t="str">
        <f>'[3]Plan Tron'!E33</f>
        <v>M²</v>
      </c>
      <c r="F1187" s="10">
        <v>1.18</v>
      </c>
      <c r="G1187" s="148">
        <v>18.329999999999998</v>
      </c>
      <c r="H1187" s="148">
        <f>'[3]Plan Tron'!F33</f>
        <v>30.96</v>
      </c>
      <c r="I1187" s="148">
        <v>26.44</v>
      </c>
      <c r="J1187" s="148">
        <f>ROUND(H1187*(I1187/100+1),2)</f>
        <v>39.15</v>
      </c>
      <c r="K1187" s="383">
        <v>0</v>
      </c>
      <c r="L1187" s="474">
        <f>F1187-K1187</f>
        <v>1.18</v>
      </c>
      <c r="M1187" s="471">
        <f t="shared" si="136"/>
        <v>46.2</v>
      </c>
      <c r="N1187" s="405"/>
      <c r="O1187" s="541"/>
      <c r="P1187" s="405"/>
      <c r="Q1187" s="405"/>
      <c r="S1187" s="344" t="str">
        <f t="shared" si="142"/>
        <v>IMPERMEABILIZACAO DE SUPERFICIE COM CIMENTO ESPECIAL CRISTALIZANTE COM ADESIVO LIQUIDO, UMA DEMAO.</v>
      </c>
    </row>
    <row r="1188" spans="1:37" s="344" customFormat="1">
      <c r="A1188" s="49"/>
      <c r="B1188" s="17"/>
      <c r="C1188" s="49"/>
      <c r="D1188" s="17"/>
      <c r="E1188" s="7"/>
      <c r="F1188" s="10"/>
      <c r="G1188" s="9"/>
      <c r="H1188" s="9"/>
      <c r="I1188" s="9"/>
      <c r="J1188" s="9"/>
      <c r="K1188" s="17"/>
      <c r="L1188" s="474"/>
      <c r="M1188" s="471"/>
      <c r="N1188" s="405"/>
      <c r="O1188" s="541"/>
      <c r="P1188" s="405"/>
      <c r="Q1188" s="405"/>
    </row>
    <row r="1189" spans="1:37" s="344" customFormat="1">
      <c r="A1189" s="49"/>
      <c r="B1189" s="17"/>
      <c r="C1189" s="49"/>
      <c r="D1189" s="53" t="s">
        <v>76</v>
      </c>
      <c r="E1189" s="7"/>
      <c r="F1189" s="10"/>
      <c r="G1189" s="27"/>
      <c r="H1189" s="27"/>
      <c r="I1189" s="9"/>
      <c r="J1189" s="9"/>
      <c r="K1189" s="383"/>
      <c r="L1189" s="474"/>
      <c r="M1189" s="471"/>
      <c r="N1189" s="405"/>
      <c r="O1189" s="541"/>
      <c r="P1189" s="405"/>
      <c r="Q1189" s="405"/>
      <c r="S1189" s="344" t="str">
        <f>UPPER(D1189)</f>
        <v/>
      </c>
    </row>
    <row r="1190" spans="1:37" s="344" customFormat="1">
      <c r="A1190" s="122">
        <v>6</v>
      </c>
      <c r="B1190" s="123"/>
      <c r="C1190" s="122"/>
      <c r="D1190" s="180" t="s">
        <v>2107</v>
      </c>
      <c r="E1190" s="119"/>
      <c r="F1190" s="161"/>
      <c r="G1190" s="162"/>
      <c r="H1190" s="162"/>
      <c r="I1190" s="9"/>
      <c r="J1190" s="9"/>
      <c r="K1190" s="383"/>
      <c r="L1190" s="474"/>
      <c r="M1190" s="471"/>
      <c r="N1190" s="405"/>
      <c r="O1190" s="541"/>
      <c r="P1190" s="405"/>
      <c r="Q1190" s="405"/>
      <c r="S1190" s="344" t="str">
        <f>UPPER(D1190)</f>
        <v>PINTURAS</v>
      </c>
    </row>
    <row r="1191" spans="1:37" s="414" customFormat="1">
      <c r="A1191" s="684" t="s">
        <v>120</v>
      </c>
      <c r="B1191" s="411"/>
      <c r="C1191" s="410"/>
      <c r="D1191" s="429" t="s">
        <v>2113</v>
      </c>
      <c r="E1191" s="617"/>
      <c r="F1191" s="422"/>
      <c r="G1191" s="619"/>
      <c r="H1191" s="619"/>
      <c r="I1191" s="412"/>
      <c r="J1191" s="412"/>
      <c r="K1191" s="498"/>
      <c r="L1191" s="474"/>
      <c r="M1191" s="471"/>
      <c r="N1191" s="419"/>
      <c r="O1191" s="541"/>
      <c r="P1191" s="419"/>
      <c r="Q1191" s="419"/>
      <c r="S1191" s="414" t="str">
        <f>UPPER(D1191)</f>
        <v>PINTURA EM CONCRETO APARENTE</v>
      </c>
    </row>
    <row r="1192" spans="1:37" s="344" customFormat="1">
      <c r="A1192" s="126" t="s">
        <v>119</v>
      </c>
      <c r="B1192" s="49">
        <f>'[3]Plan Tron'!B75</f>
        <v>84678</v>
      </c>
      <c r="C1192" s="49" t="str">
        <f>'[3]Plan Tron'!C75</f>
        <v>SINAPI</v>
      </c>
      <c r="D1192" s="130" t="str">
        <f>'[3]Plan Tron'!D75</f>
        <v xml:space="preserve">VERNIZ POLIURETANO BRILHANTE EM CONCRETO OU TIJOLO, TRES DEMAOS </v>
      </c>
      <c r="E1192" s="77" t="str">
        <f>'[3]Plan Tron'!E75</f>
        <v>M²</v>
      </c>
      <c r="F1192" s="21">
        <v>10.9</v>
      </c>
      <c r="G1192" s="27">
        <v>11.75</v>
      </c>
      <c r="H1192" s="27">
        <f>'[3]Plan Tron'!F75</f>
        <v>16.84</v>
      </c>
      <c r="I1192" s="9">
        <v>26.44</v>
      </c>
      <c r="J1192" s="9">
        <f>ROUND(H1192*(I1192/100+1),2)</f>
        <v>21.29</v>
      </c>
      <c r="K1192" s="383">
        <v>0</v>
      </c>
      <c r="L1192" s="474">
        <f>F1192-K1192</f>
        <v>10.9</v>
      </c>
      <c r="M1192" s="471">
        <f t="shared" si="136"/>
        <v>232.06</v>
      </c>
      <c r="N1192" s="405"/>
      <c r="O1192" s="541"/>
      <c r="P1192" s="405"/>
      <c r="Q1192" s="405"/>
      <c r="S1192" s="344" t="str">
        <f>UPPER(D1192)</f>
        <v xml:space="preserve">VERNIZ POLIURETANO BRILHANTE EM CONCRETO OU TIJOLO, TRES DEMAOS </v>
      </c>
    </row>
    <row r="1193" spans="1:37">
      <c r="A1193" s="49"/>
      <c r="B1193" s="17"/>
      <c r="C1193" s="49"/>
      <c r="D1193" s="123"/>
      <c r="E1193" s="7"/>
      <c r="F1193" s="10"/>
      <c r="G1193" s="312"/>
      <c r="H1193" s="9"/>
      <c r="I1193" s="9"/>
      <c r="J1193" s="9"/>
      <c r="K1193" s="123"/>
      <c r="L1193" s="474"/>
      <c r="M1193" s="471"/>
      <c r="N1193" s="405"/>
      <c r="O1193" s="541"/>
      <c r="P1193" s="405"/>
      <c r="Q1193" s="405"/>
    </row>
    <row r="1194" spans="1:37">
      <c r="A1194" s="49"/>
      <c r="B1194" s="17"/>
      <c r="C1194" s="49"/>
      <c r="D1194" s="180" t="s">
        <v>76</v>
      </c>
      <c r="E1194" s="7"/>
      <c r="F1194" s="10"/>
      <c r="G1194" s="9"/>
      <c r="H1194" s="9"/>
      <c r="I1194" s="9"/>
      <c r="J1194" s="9"/>
      <c r="K1194" s="383"/>
      <c r="L1194" s="474"/>
      <c r="M1194" s="471"/>
      <c r="N1194" s="405"/>
      <c r="O1194" s="541"/>
      <c r="P1194" s="405"/>
      <c r="Q1194" s="405"/>
      <c r="S1194" s="344" t="str">
        <f>UPPER(D1194)</f>
        <v/>
      </c>
    </row>
    <row r="1195" spans="1:37">
      <c r="A1195" s="67">
        <v>7</v>
      </c>
      <c r="B1195" s="68"/>
      <c r="C1195" s="67"/>
      <c r="D1195" s="400" t="s">
        <v>2109</v>
      </c>
      <c r="E1195" s="32"/>
      <c r="F1195" s="8"/>
      <c r="G1195" s="33"/>
      <c r="H1195" s="33"/>
      <c r="I1195" s="9"/>
      <c r="J1195" s="9"/>
      <c r="K1195" s="383"/>
      <c r="L1195" s="474"/>
      <c r="M1195" s="471"/>
      <c r="N1195" s="405"/>
      <c r="O1195" s="541"/>
      <c r="P1195" s="405"/>
      <c r="Q1195" s="405"/>
      <c r="S1195" s="344" t="str">
        <f>UPPER(D1195)</f>
        <v>MONTAGEM DE MATERIAIS E EQUIPAMENTOS HIDRÁULICOS, HIDROMECÂNICOS E DIVERSOS</v>
      </c>
    </row>
    <row r="1196" spans="1:37" s="344" customFormat="1" ht="25.5">
      <c r="A1196" s="69" t="s">
        <v>109</v>
      </c>
      <c r="B1196" s="11" t="s">
        <v>308</v>
      </c>
      <c r="C1196" s="69"/>
      <c r="D1196" s="84" t="s">
        <v>2253</v>
      </c>
      <c r="E1196" s="24" t="s">
        <v>2339</v>
      </c>
      <c r="F1196" s="10">
        <v>1</v>
      </c>
      <c r="G1196" s="27">
        <v>12972.879999999997</v>
      </c>
      <c r="H1196" s="9">
        <f t="shared" ref="H1196" si="143">G1196*$P$7</f>
        <v>14987.568263999998</v>
      </c>
      <c r="I1196" s="9">
        <v>26.44</v>
      </c>
      <c r="J1196" s="9">
        <f>ROUND(H1196*(I1196/100+1),2)</f>
        <v>18950.28</v>
      </c>
      <c r="K1196" s="383">
        <v>0</v>
      </c>
      <c r="L1196" s="474">
        <f>F1196-K1196</f>
        <v>1</v>
      </c>
      <c r="M1196" s="471">
        <f t="shared" si="136"/>
        <v>18950.28</v>
      </c>
      <c r="N1196" s="405"/>
      <c r="O1196" s="541"/>
      <c r="P1196" s="405"/>
      <c r="Q1196" s="405"/>
      <c r="S1196" s="344" t="str">
        <f>UPPER(D1196)</f>
        <v>MONTAGEM HIDRÁULICA E HIDROMECÂNICA DE EQUIPAMENTOS, VÁLVULAS, TUBOS, PEÇAS E ACESSÓRIOS DA LISTA DE MATERIAIS DA ESTAÇÃO ELEVATÓRIA DE RECIRCULAÇÃO.</v>
      </c>
    </row>
    <row r="1197" spans="1:37">
      <c r="A1197" s="69"/>
      <c r="B1197" s="112"/>
      <c r="C1197" s="69"/>
      <c r="D1197" s="112"/>
      <c r="E1197" s="32"/>
      <c r="F1197" s="8"/>
      <c r="G1197" s="322"/>
      <c r="H1197" s="139"/>
      <c r="I1197" s="139"/>
      <c r="J1197" s="139"/>
      <c r="K1197" s="112"/>
      <c r="L1197" s="474"/>
      <c r="M1197" s="472"/>
      <c r="N1197" s="405"/>
      <c r="O1197" s="541"/>
      <c r="P1197" s="405"/>
      <c r="Q1197" s="405"/>
    </row>
    <row r="1198" spans="1:37">
      <c r="A1198" s="69"/>
      <c r="B1198" s="112"/>
      <c r="C1198" s="69"/>
      <c r="D1198" s="112"/>
      <c r="E1198" s="32"/>
      <c r="F1198" s="8"/>
      <c r="G1198" s="322"/>
      <c r="H1198" s="139"/>
      <c r="I1198" s="139"/>
      <c r="J1198" s="139"/>
      <c r="K1198" s="112"/>
      <c r="L1198" s="474"/>
      <c r="M1198" s="471"/>
      <c r="N1198" s="405"/>
      <c r="O1198" s="541"/>
      <c r="P1198" s="405"/>
      <c r="Q1198" s="405"/>
    </row>
    <row r="1199" spans="1:37" s="299" customFormat="1">
      <c r="A1199" s="297"/>
      <c r="B1199" s="298"/>
      <c r="C1199" s="298"/>
      <c r="D1199" s="511" t="s">
        <v>2368</v>
      </c>
      <c r="E1199" s="297"/>
      <c r="F1199" s="298"/>
      <c r="G1199" s="301"/>
      <c r="H1199" s="338"/>
      <c r="I1199" s="298"/>
      <c r="J1199" s="298"/>
      <c r="K1199" s="506"/>
      <c r="L1199" s="508"/>
      <c r="M1199" s="505">
        <f>SUM(M1141:M1197)</f>
        <v>64167.689999999995</v>
      </c>
      <c r="N1199" s="405"/>
      <c r="O1199" s="541"/>
      <c r="P1199" s="405"/>
      <c r="Q1199" s="405"/>
      <c r="R1199" s="388"/>
      <c r="S1199" s="344" t="str">
        <f t="shared" ref="S1199:S1227" si="144">UPPER(D1199)</f>
        <v>TOTAL ITEM 24.3</v>
      </c>
      <c r="T1199" s="388"/>
      <c r="U1199" s="388"/>
      <c r="V1199" s="388"/>
      <c r="W1199" s="388"/>
      <c r="X1199" s="388"/>
      <c r="Y1199" s="388"/>
      <c r="Z1199" s="388"/>
      <c r="AA1199" s="388"/>
      <c r="AB1199" s="388"/>
      <c r="AC1199" s="388"/>
      <c r="AD1199" s="388"/>
      <c r="AE1199" s="388"/>
      <c r="AF1199" s="388"/>
      <c r="AG1199" s="388"/>
      <c r="AH1199" s="388"/>
      <c r="AI1199" s="388"/>
      <c r="AJ1199" s="388"/>
      <c r="AK1199" s="388"/>
    </row>
    <row r="1200" spans="1:37" s="299" customFormat="1">
      <c r="A1200" s="297"/>
      <c r="B1200" s="298"/>
      <c r="C1200" s="298"/>
      <c r="D1200" s="442" t="s">
        <v>76</v>
      </c>
      <c r="E1200" s="297" t="s">
        <v>76</v>
      </c>
      <c r="F1200" s="298"/>
      <c r="G1200" s="301"/>
      <c r="H1200" s="338"/>
      <c r="I1200" s="298"/>
      <c r="J1200" s="298"/>
      <c r="K1200" s="341"/>
      <c r="L1200" s="474"/>
      <c r="M1200" s="471"/>
      <c r="N1200" s="405"/>
      <c r="O1200" s="541"/>
      <c r="P1200" s="405"/>
      <c r="Q1200" s="405"/>
      <c r="R1200" s="388"/>
      <c r="S1200" s="344" t="str">
        <f t="shared" si="144"/>
        <v/>
      </c>
      <c r="T1200" s="388"/>
      <c r="U1200" s="388"/>
      <c r="V1200" s="388"/>
      <c r="W1200" s="388"/>
      <c r="X1200" s="388"/>
      <c r="Y1200" s="388"/>
      <c r="Z1200" s="388"/>
      <c r="AA1200" s="388"/>
      <c r="AB1200" s="388"/>
      <c r="AC1200" s="388"/>
      <c r="AD1200" s="388"/>
      <c r="AE1200" s="388"/>
      <c r="AF1200" s="388"/>
      <c r="AG1200" s="388"/>
      <c r="AH1200" s="388"/>
      <c r="AI1200" s="388"/>
      <c r="AJ1200" s="388"/>
      <c r="AK1200" s="388"/>
    </row>
    <row r="1201" spans="1:19" s="450" customFormat="1">
      <c r="A1201" s="445" t="s">
        <v>43</v>
      </c>
      <c r="B1201" s="446"/>
      <c r="C1201" s="447"/>
      <c r="D1201" s="448" t="s">
        <v>2002</v>
      </c>
      <c r="E1201" s="453" t="s">
        <v>76</v>
      </c>
      <c r="F1201" s="446"/>
      <c r="G1201" s="446"/>
      <c r="H1201" s="446"/>
      <c r="I1201" s="446"/>
      <c r="J1201" s="446"/>
      <c r="K1201" s="473"/>
      <c r="L1201" s="478"/>
      <c r="M1201" s="479"/>
      <c r="N1201" s="454"/>
      <c r="O1201" s="541"/>
      <c r="P1201" s="454"/>
      <c r="Q1201" s="454"/>
      <c r="S1201" s="450" t="str">
        <f t="shared" si="144"/>
        <v>INSTALAÇÕES ELÉTRICAS - EE DE RECIRCULAÇÃO (ESTAÇÃO ELEVATÓRIA DE RECIRCULAÇÃO)</v>
      </c>
    </row>
    <row r="1202" spans="1:19">
      <c r="A1202" s="45"/>
      <c r="B1202" s="50"/>
      <c r="C1202" s="45"/>
      <c r="D1202" s="53" t="s">
        <v>2254</v>
      </c>
      <c r="E1202" s="47" t="s">
        <v>76</v>
      </c>
      <c r="F1202" s="76"/>
      <c r="G1202" s="303"/>
      <c r="H1202" s="10"/>
      <c r="I1202" s="10"/>
      <c r="J1202" s="10"/>
      <c r="K1202" s="383"/>
      <c r="L1202" s="474"/>
      <c r="M1202" s="471"/>
      <c r="N1202" s="405"/>
      <c r="O1202" s="541"/>
      <c r="P1202" s="405"/>
      <c r="Q1202" s="405"/>
      <c r="S1202" s="344" t="str">
        <f t="shared" si="144"/>
        <v>MONTAGEM DE MATERIAIS E EQUIPAMENTOS ELÉTRICOS, DE AUTOMAÇÃO E DIVERSOS - EE DE RETORNO</v>
      </c>
    </row>
    <row r="1203" spans="1:19">
      <c r="A1203" s="45">
        <v>1</v>
      </c>
      <c r="B1203" s="50"/>
      <c r="C1203" s="45"/>
      <c r="D1203" s="53" t="s">
        <v>2255</v>
      </c>
      <c r="E1203" s="47" t="s">
        <v>76</v>
      </c>
      <c r="F1203" s="76"/>
      <c r="G1203" s="303"/>
      <c r="H1203" s="10"/>
      <c r="I1203" s="10"/>
      <c r="J1203" s="10"/>
      <c r="K1203" s="383"/>
      <c r="L1203" s="474"/>
      <c r="M1203" s="471"/>
      <c r="N1203" s="405"/>
      <c r="O1203" s="541"/>
      <c r="P1203" s="405"/>
      <c r="Q1203" s="405"/>
      <c r="S1203" s="344" t="str">
        <f t="shared" si="144"/>
        <v>MONTAGEM ELÉTRICA - EE DE RETORNO</v>
      </c>
    </row>
    <row r="1204" spans="1:19" s="344" customFormat="1">
      <c r="A1204" s="49" t="s">
        <v>20</v>
      </c>
      <c r="B1204" s="50" t="s">
        <v>1409</v>
      </c>
      <c r="C1204" s="49"/>
      <c r="D1204" s="130" t="s">
        <v>2256</v>
      </c>
      <c r="E1204" s="7" t="s">
        <v>2337</v>
      </c>
      <c r="F1204" s="21">
        <v>1</v>
      </c>
      <c r="G1204" s="10">
        <v>1089.8400000000001</v>
      </c>
      <c r="H1204" s="9">
        <f t="shared" ref="H1204:H1207" si="145">G1204*$P$7</f>
        <v>1259.0921520000002</v>
      </c>
      <c r="I1204" s="10">
        <v>26.44</v>
      </c>
      <c r="J1204" s="10">
        <f>ROUND(H1204*(I1204/100+1),2)</f>
        <v>1592</v>
      </c>
      <c r="K1204" s="383">
        <v>0</v>
      </c>
      <c r="L1204" s="474">
        <f>F1204-K1204</f>
        <v>1</v>
      </c>
      <c r="M1204" s="471">
        <f t="shared" ref="M1204:M1227" si="146">ROUND(L1204*J1204,2)</f>
        <v>1592</v>
      </c>
      <c r="N1204" s="405"/>
      <c r="O1204" s="541"/>
      <c r="P1204" s="405"/>
      <c r="Q1204" s="405"/>
      <c r="S1204" s="344" t="str">
        <f t="shared" si="144"/>
        <v>INSTALAÇÃO DOS NOVOS MATERIAIS E EQUIPAMENTOS DE BAIXA TENSÃO.</v>
      </c>
    </row>
    <row r="1205" spans="1:19" s="344" customFormat="1">
      <c r="A1205" s="49" t="s">
        <v>18</v>
      </c>
      <c r="B1205" s="50" t="s">
        <v>1408</v>
      </c>
      <c r="C1205" s="49"/>
      <c r="D1205" s="130" t="s">
        <v>2257</v>
      </c>
      <c r="E1205" s="7" t="s">
        <v>2337</v>
      </c>
      <c r="F1205" s="21">
        <v>1</v>
      </c>
      <c r="G1205" s="10">
        <v>5516</v>
      </c>
      <c r="H1205" s="9">
        <f t="shared" si="145"/>
        <v>6372.6347999999998</v>
      </c>
      <c r="I1205" s="10">
        <v>26.44</v>
      </c>
      <c r="J1205" s="10">
        <f t="shared" ref="J1205:J1207" si="147">ROUND(H1205*(I1205/100+1),2)</f>
        <v>8057.56</v>
      </c>
      <c r="K1205" s="383">
        <v>0</v>
      </c>
      <c r="L1205" s="474">
        <f>F1205-K1205</f>
        <v>1</v>
      </c>
      <c r="M1205" s="471">
        <f t="shared" si="146"/>
        <v>8057.56</v>
      </c>
      <c r="N1205" s="405"/>
      <c r="O1205" s="541"/>
      <c r="P1205" s="405"/>
      <c r="Q1205" s="405"/>
      <c r="S1205" s="344" t="str">
        <f t="shared" si="144"/>
        <v>INSTALAÇÃO DE PAINÉIS E QUADROS</v>
      </c>
    </row>
    <row r="1206" spans="1:19" s="344" customFormat="1">
      <c r="A1206" s="49" t="s">
        <v>17</v>
      </c>
      <c r="B1206" s="50" t="s">
        <v>812</v>
      </c>
      <c r="C1206" s="49"/>
      <c r="D1206" s="130" t="s">
        <v>2209</v>
      </c>
      <c r="E1206" s="7" t="s">
        <v>2337</v>
      </c>
      <c r="F1206" s="21">
        <v>1</v>
      </c>
      <c r="G1206" s="10">
        <v>1816.4</v>
      </c>
      <c r="H1206" s="9">
        <f t="shared" si="145"/>
        <v>2098.4869200000003</v>
      </c>
      <c r="I1206" s="10">
        <v>26.44</v>
      </c>
      <c r="J1206" s="10">
        <f t="shared" si="147"/>
        <v>2653.33</v>
      </c>
      <c r="K1206" s="383">
        <v>0</v>
      </c>
      <c r="L1206" s="474">
        <f>F1206-K1206</f>
        <v>1</v>
      </c>
      <c r="M1206" s="471">
        <f t="shared" si="146"/>
        <v>2653.33</v>
      </c>
      <c r="N1206" s="405"/>
      <c r="O1206" s="541"/>
      <c r="P1206" s="405"/>
      <c r="Q1206" s="405"/>
      <c r="S1206" s="344" t="str">
        <f t="shared" si="144"/>
        <v>INSTALAÇÃO E COMISSIONAMENTO DE INSTRUMENTOS</v>
      </c>
    </row>
    <row r="1207" spans="1:19" s="344" customFormat="1">
      <c r="A1207" s="49" t="s">
        <v>16</v>
      </c>
      <c r="B1207" s="50" t="s">
        <v>1407</v>
      </c>
      <c r="C1207" s="49"/>
      <c r="D1207" s="130" t="s">
        <v>2258</v>
      </c>
      <c r="E1207" s="7" t="s">
        <v>2337</v>
      </c>
      <c r="F1207" s="21">
        <v>1</v>
      </c>
      <c r="G1207" s="10">
        <v>24056</v>
      </c>
      <c r="H1207" s="9">
        <f t="shared" si="145"/>
        <v>27791.896799999999</v>
      </c>
      <c r="I1207" s="10">
        <v>26.44</v>
      </c>
      <c r="J1207" s="10">
        <f t="shared" si="147"/>
        <v>35140.07</v>
      </c>
      <c r="K1207" s="383">
        <v>0</v>
      </c>
      <c r="L1207" s="474">
        <f>F1207-K1207</f>
        <v>1</v>
      </c>
      <c r="M1207" s="471">
        <f t="shared" si="146"/>
        <v>35140.07</v>
      </c>
      <c r="N1207" s="405"/>
      <c r="O1207" s="541"/>
      <c r="P1207" s="405"/>
      <c r="Q1207" s="405"/>
      <c r="S1207" s="344" t="str">
        <f t="shared" si="144"/>
        <v>SERVIÇOS DE PROGRAMAÇÃO DE CLP.</v>
      </c>
    </row>
    <row r="1208" spans="1:19" s="414" customFormat="1">
      <c r="A1208" s="410" t="s">
        <v>15</v>
      </c>
      <c r="B1208" s="428"/>
      <c r="C1208" s="410"/>
      <c r="D1208" s="429" t="s">
        <v>2090</v>
      </c>
      <c r="E1208" s="617" t="s">
        <v>76</v>
      </c>
      <c r="F1208" s="422"/>
      <c r="G1208" s="413"/>
      <c r="H1208" s="413"/>
      <c r="I1208" s="413"/>
      <c r="J1208" s="413"/>
      <c r="K1208" s="498"/>
      <c r="L1208" s="474"/>
      <c r="M1208" s="471"/>
      <c r="N1208" s="419"/>
      <c r="O1208" s="541"/>
      <c r="P1208" s="419"/>
      <c r="Q1208" s="419"/>
      <c r="S1208" s="414" t="str">
        <f t="shared" si="144"/>
        <v>FIOS E CABOS</v>
      </c>
    </row>
    <row r="1209" spans="1:19" s="344" customFormat="1" ht="25.5">
      <c r="A1209" s="49" t="s">
        <v>249</v>
      </c>
      <c r="B1209" s="49">
        <f>'[3]Plan Tron'!B45</f>
        <v>92980</v>
      </c>
      <c r="C1209" s="49" t="str">
        <f>'[3]Plan Tron'!C45</f>
        <v>SINAPI</v>
      </c>
      <c r="D1209" s="130" t="str">
        <f>'[3]Plan Tron'!D45</f>
        <v>CABO DE COBRE FLEXÍVEL ISOLADO, 10 MM², ANTI-CHAMA 0,6/1,0 KV, PARA DISTRIBUIÇÃO - FORNECIMENTO E INSTALAÇÃO. AF_12/2015</v>
      </c>
      <c r="E1209" s="672" t="str">
        <f>'[3]Plan Tron'!E45</f>
        <v>M</v>
      </c>
      <c r="F1209" s="36">
        <v>10</v>
      </c>
      <c r="G1209" s="10">
        <v>6.44</v>
      </c>
      <c r="H1209" s="10">
        <f>'[3]Plan Tron'!F45</f>
        <v>5.07</v>
      </c>
      <c r="I1209" s="10">
        <v>26.44</v>
      </c>
      <c r="J1209" s="10">
        <f>ROUND(H1209*(I1209/100+1),2)</f>
        <v>6.41</v>
      </c>
      <c r="K1209" s="383">
        <v>0</v>
      </c>
      <c r="L1209" s="474">
        <f t="shared" ref="L1209:L1216" si="148">F1209-K1209</f>
        <v>10</v>
      </c>
      <c r="M1209" s="471">
        <f t="shared" si="146"/>
        <v>64.099999999999994</v>
      </c>
      <c r="N1209" s="405"/>
      <c r="O1209" s="541"/>
      <c r="P1209" s="405"/>
      <c r="Q1209" s="405"/>
      <c r="S1209" s="344" t="str">
        <f t="shared" si="144"/>
        <v>CABO DE COBRE FLEXÍVEL ISOLADO, 10 MM², ANTI-CHAMA 0,6/1,0 KV, PARA DISTRIBUIÇÃO - FORNECIMENTO E INSTALAÇÃO. AF_12/2015</v>
      </c>
    </row>
    <row r="1210" spans="1:19" s="344" customFormat="1">
      <c r="A1210" s="49" t="s">
        <v>265</v>
      </c>
      <c r="B1210" s="50">
        <f>'[3]Plan Tron'!B136</f>
        <v>390201</v>
      </c>
      <c r="C1210" s="49" t="str">
        <f>'[3]Plan Tron'!C136</f>
        <v>CPOS</v>
      </c>
      <c r="D1210" s="654" t="str">
        <f>UPPER('[3]Plan Tron'!D136)</f>
        <v>CABO DE COBRE DE 1,5 MM², ISOLAMENTO 750 V - ISOLAÇÃO EM PVC 70°C  COR AMARELO</v>
      </c>
      <c r="E1210" s="672" t="str">
        <f>'[3]Plan Tron'!E136</f>
        <v>M</v>
      </c>
      <c r="F1210" s="36">
        <v>100</v>
      </c>
      <c r="G1210" s="10">
        <f>G735</f>
        <v>1.73</v>
      </c>
      <c r="H1210" s="10">
        <f>'[3]Plan Tron'!F136</f>
        <v>1.62</v>
      </c>
      <c r="I1210" s="10">
        <v>26.44</v>
      </c>
      <c r="J1210" s="10">
        <f t="shared" ref="J1210:J1227" si="149">ROUND(H1210*(I1210/100+1),2)</f>
        <v>2.0499999999999998</v>
      </c>
      <c r="K1210" s="383">
        <v>0</v>
      </c>
      <c r="L1210" s="474">
        <f t="shared" si="148"/>
        <v>100</v>
      </c>
      <c r="M1210" s="471">
        <f t="shared" si="146"/>
        <v>205</v>
      </c>
      <c r="N1210" s="405"/>
      <c r="O1210" s="541"/>
      <c r="P1210" s="405"/>
      <c r="Q1210" s="405"/>
      <c r="S1210" s="344" t="str">
        <f t="shared" si="144"/>
        <v>CABO DE COBRE DE 1,5 MM², ISOLAMENTO 750 V - ISOLAÇÃO EM PVC 70°C  COR AMARELO</v>
      </c>
    </row>
    <row r="1211" spans="1:19" s="344" customFormat="1">
      <c r="A1211" s="49" t="s">
        <v>263</v>
      </c>
      <c r="B1211" s="50">
        <f>'[3]Plan Tron'!B137</f>
        <v>390201</v>
      </c>
      <c r="C1211" s="49" t="str">
        <f>'[3]Plan Tron'!C137</f>
        <v>CPOS</v>
      </c>
      <c r="D1211" s="654" t="str">
        <f>UPPER('[3]Plan Tron'!D137)</f>
        <v>CABO DE COBRE DE 1,5 MM², ISOLAMENTO 750 V - ISOLAÇÃO EM PVC 70°C  COR AZUL</v>
      </c>
      <c r="E1211" s="672" t="str">
        <f>'[3]Plan Tron'!E137</f>
        <v>M</v>
      </c>
      <c r="F1211" s="27">
        <v>100</v>
      </c>
      <c r="G1211" s="10">
        <f>G735</f>
        <v>1.73</v>
      </c>
      <c r="H1211" s="10">
        <f>'[3]Plan Tron'!F137</f>
        <v>1.62</v>
      </c>
      <c r="I1211" s="10">
        <v>26.44</v>
      </c>
      <c r="J1211" s="10">
        <f t="shared" si="149"/>
        <v>2.0499999999999998</v>
      </c>
      <c r="K1211" s="383">
        <v>0</v>
      </c>
      <c r="L1211" s="474">
        <f t="shared" si="148"/>
        <v>100</v>
      </c>
      <c r="M1211" s="471">
        <f t="shared" si="146"/>
        <v>205</v>
      </c>
      <c r="N1211" s="405"/>
      <c r="O1211" s="541"/>
      <c r="P1211" s="405"/>
      <c r="Q1211" s="405"/>
      <c r="S1211" s="344" t="str">
        <f t="shared" si="144"/>
        <v>CABO DE COBRE DE 1,5 MM², ISOLAMENTO 750 V - ISOLAÇÃO EM PVC 70°C  COR AZUL</v>
      </c>
    </row>
    <row r="1212" spans="1:19" s="344" customFormat="1">
      <c r="A1212" s="49" t="s">
        <v>358</v>
      </c>
      <c r="B1212" s="50">
        <f>'[3]Plan Tron'!B135</f>
        <v>390201</v>
      </c>
      <c r="C1212" s="49" t="str">
        <f>'[3]Plan Tron'!C135</f>
        <v>CPOS</v>
      </c>
      <c r="D1212" s="654" t="str">
        <f>UPPER('[3]Plan Tron'!D135)</f>
        <v>CABO DE COBRE DE 1,5 MM², ISOLAMENTO 750 V - ISOLAÇÃO EM PVC 70°C  COR BRANCO</v>
      </c>
      <c r="E1212" s="672" t="str">
        <f>'[3]Plan Tron'!E135</f>
        <v>M</v>
      </c>
      <c r="F1212" s="36">
        <v>100</v>
      </c>
      <c r="G1212" s="10">
        <f>G735</f>
        <v>1.73</v>
      </c>
      <c r="H1212" s="10">
        <f>'[3]Plan Tron'!F135</f>
        <v>1.62</v>
      </c>
      <c r="I1212" s="10">
        <v>26.44</v>
      </c>
      <c r="J1212" s="10">
        <f t="shared" si="149"/>
        <v>2.0499999999999998</v>
      </c>
      <c r="K1212" s="383">
        <v>0</v>
      </c>
      <c r="L1212" s="474">
        <f t="shared" si="148"/>
        <v>100</v>
      </c>
      <c r="M1212" s="471">
        <f t="shared" si="146"/>
        <v>205</v>
      </c>
      <c r="N1212" s="405"/>
      <c r="O1212" s="541"/>
      <c r="P1212" s="405"/>
      <c r="Q1212" s="405"/>
      <c r="S1212" s="344" t="str">
        <f t="shared" si="144"/>
        <v>CABO DE COBRE DE 1,5 MM², ISOLAMENTO 750 V - ISOLAÇÃO EM PVC 70°C  COR BRANCO</v>
      </c>
    </row>
    <row r="1213" spans="1:19" s="344" customFormat="1">
      <c r="A1213" s="49" t="s">
        <v>356</v>
      </c>
      <c r="B1213" s="50">
        <f>'[3]Plan Tron'!B138</f>
        <v>390201</v>
      </c>
      <c r="C1213" s="49" t="str">
        <f>'[3]Plan Tron'!C138</f>
        <v>CPOS</v>
      </c>
      <c r="D1213" s="654" t="str">
        <f>UPPER('[3]Plan Tron'!D138)</f>
        <v>CABO DE COBRE DE 1,5 MM², ISOLAMENTO 750 V - ISOLAÇÃO EM PVC 70°C  COR VERDE</v>
      </c>
      <c r="E1213" s="672" t="str">
        <f>'[3]Plan Tron'!E138</f>
        <v>M</v>
      </c>
      <c r="F1213" s="36">
        <v>100</v>
      </c>
      <c r="G1213" s="10">
        <f>G735</f>
        <v>1.73</v>
      </c>
      <c r="H1213" s="10">
        <f>'[3]Plan Tron'!F138</f>
        <v>1.62</v>
      </c>
      <c r="I1213" s="10">
        <v>26.44</v>
      </c>
      <c r="J1213" s="10">
        <f t="shared" si="149"/>
        <v>2.0499999999999998</v>
      </c>
      <c r="K1213" s="383">
        <v>0</v>
      </c>
      <c r="L1213" s="474">
        <f t="shared" si="148"/>
        <v>100</v>
      </c>
      <c r="M1213" s="471">
        <f t="shared" si="146"/>
        <v>205</v>
      </c>
      <c r="N1213" s="405"/>
      <c r="O1213" s="541"/>
      <c r="P1213" s="405"/>
      <c r="Q1213" s="405"/>
      <c r="S1213" s="344" t="str">
        <f t="shared" si="144"/>
        <v>CABO DE COBRE DE 1,5 MM², ISOLAMENTO 750 V - ISOLAÇÃO EM PVC 70°C  COR VERDE</v>
      </c>
    </row>
    <row r="1214" spans="1:19" s="344" customFormat="1">
      <c r="A1214" s="49" t="s">
        <v>354</v>
      </c>
      <c r="B1214" s="50">
        <f>'[3]Plan Tron'!B132</f>
        <v>390216</v>
      </c>
      <c r="C1214" s="49" t="str">
        <f>'[3]Plan Tron'!C132</f>
        <v>CPOS</v>
      </c>
      <c r="D1214" s="654" t="str">
        <f>UPPER('[3]Plan Tron'!D132)</f>
        <v>CABO DE COBRE DE 2,5 MM², ISOLAMENTO 750 V - ISOLAÇÃO EM PVC 70°C COR AZUL</v>
      </c>
      <c r="E1214" s="672" t="str">
        <f>'[3]Plan Tron'!E132</f>
        <v>M</v>
      </c>
      <c r="F1214" s="36">
        <v>100</v>
      </c>
      <c r="G1214" s="10">
        <f>G732</f>
        <v>2.2799999999999998</v>
      </c>
      <c r="H1214" s="10">
        <f>'[3]Plan Tron'!F132</f>
        <v>2.25</v>
      </c>
      <c r="I1214" s="10">
        <v>26.44</v>
      </c>
      <c r="J1214" s="10">
        <f t="shared" si="149"/>
        <v>2.84</v>
      </c>
      <c r="K1214" s="383">
        <v>0</v>
      </c>
      <c r="L1214" s="474">
        <f t="shared" si="148"/>
        <v>100</v>
      </c>
      <c r="M1214" s="471">
        <f t="shared" si="146"/>
        <v>284</v>
      </c>
      <c r="N1214" s="405"/>
      <c r="O1214" s="541"/>
      <c r="P1214" s="405"/>
      <c r="Q1214" s="405"/>
      <c r="S1214" s="344" t="str">
        <f t="shared" si="144"/>
        <v>CABO DE COBRE DE 2,5 MM², ISOLAMENTO 750 V - ISOLAÇÃO EM PVC 70°C COR AZUL</v>
      </c>
    </row>
    <row r="1215" spans="1:19" s="344" customFormat="1">
      <c r="A1215" s="49" t="s">
        <v>352</v>
      </c>
      <c r="B1215" s="50">
        <f>'[3]Plan Tron'!B133</f>
        <v>390216</v>
      </c>
      <c r="C1215" s="49" t="str">
        <f>'[3]Plan Tron'!C133</f>
        <v>CPOS</v>
      </c>
      <c r="D1215" s="654" t="str">
        <f>UPPER('[3]Plan Tron'!D133)</f>
        <v>CABO DE COBRE DE 2,5 MM², ISOLAMENTO 750 V - ISOLAÇÃO EM PVC 70°C COR PRETO</v>
      </c>
      <c r="E1215" s="672" t="str">
        <f>'[3]Plan Tron'!E133</f>
        <v>M</v>
      </c>
      <c r="F1215" s="36">
        <v>100</v>
      </c>
      <c r="G1215" s="10">
        <f>G732</f>
        <v>2.2799999999999998</v>
      </c>
      <c r="H1215" s="10">
        <f>'[3]Plan Tron'!F133</f>
        <v>2.25</v>
      </c>
      <c r="I1215" s="10">
        <v>26.44</v>
      </c>
      <c r="J1215" s="10">
        <f t="shared" si="149"/>
        <v>2.84</v>
      </c>
      <c r="K1215" s="383">
        <v>0</v>
      </c>
      <c r="L1215" s="474">
        <f t="shared" si="148"/>
        <v>100</v>
      </c>
      <c r="M1215" s="471">
        <f t="shared" si="146"/>
        <v>284</v>
      </c>
      <c r="N1215" s="405"/>
      <c r="O1215" s="541"/>
      <c r="P1215" s="405"/>
      <c r="Q1215" s="405"/>
      <c r="S1215" s="344" t="str">
        <f t="shared" si="144"/>
        <v>CABO DE COBRE DE 2,5 MM², ISOLAMENTO 750 V - ISOLAÇÃO EM PVC 70°C COR PRETO</v>
      </c>
    </row>
    <row r="1216" spans="1:19" s="344" customFormat="1">
      <c r="A1216" s="49" t="s">
        <v>350</v>
      </c>
      <c r="B1216" s="50">
        <f>'[3]Plan Tron'!B134</f>
        <v>390216</v>
      </c>
      <c r="C1216" s="49" t="str">
        <f>'[3]Plan Tron'!C134</f>
        <v>CPOS</v>
      </c>
      <c r="D1216" s="654" t="str">
        <f>UPPER('[3]Plan Tron'!D134)</f>
        <v>CABO DE COBRE DE 2,5 MM², ISOLAMENTO 750 V - ISOLAÇÃO EM PVC 70°C COR VERDE</v>
      </c>
      <c r="E1216" s="672" t="str">
        <f>'[3]Plan Tron'!E134</f>
        <v>M</v>
      </c>
      <c r="F1216" s="36">
        <v>100</v>
      </c>
      <c r="G1216" s="10">
        <f>G732</f>
        <v>2.2799999999999998</v>
      </c>
      <c r="H1216" s="10">
        <f>'[3]Plan Tron'!F134</f>
        <v>2.25</v>
      </c>
      <c r="I1216" s="10">
        <v>26.44</v>
      </c>
      <c r="J1216" s="10">
        <f t="shared" si="149"/>
        <v>2.84</v>
      </c>
      <c r="K1216" s="383">
        <v>0</v>
      </c>
      <c r="L1216" s="474">
        <f t="shared" si="148"/>
        <v>100</v>
      </c>
      <c r="M1216" s="471">
        <f t="shared" si="146"/>
        <v>284</v>
      </c>
      <c r="N1216" s="405"/>
      <c r="O1216" s="541"/>
      <c r="P1216" s="405"/>
      <c r="Q1216" s="405"/>
      <c r="S1216" s="344" t="str">
        <f t="shared" si="144"/>
        <v>CABO DE COBRE DE 2,5 MM², ISOLAMENTO 750 V - ISOLAÇÃO EM PVC 70°C COR VERDE</v>
      </c>
    </row>
    <row r="1217" spans="1:19" s="414" customFormat="1">
      <c r="A1217" s="410" t="s">
        <v>14</v>
      </c>
      <c r="B1217" s="428"/>
      <c r="C1217" s="410"/>
      <c r="D1217" s="429" t="s">
        <v>2091</v>
      </c>
      <c r="E1217" s="617" t="s">
        <v>76</v>
      </c>
      <c r="F1217" s="422"/>
      <c r="G1217" s="413"/>
      <c r="H1217" s="413"/>
      <c r="I1217" s="413"/>
      <c r="J1217" s="10"/>
      <c r="K1217" s="498"/>
      <c r="L1217" s="474"/>
      <c r="M1217" s="471"/>
      <c r="N1217" s="419"/>
      <c r="O1217" s="541"/>
      <c r="P1217" s="419"/>
      <c r="Q1217" s="419"/>
      <c r="S1217" s="414" t="str">
        <f t="shared" si="144"/>
        <v>ELETRODUTOS E AFINS</v>
      </c>
    </row>
    <row r="1218" spans="1:19" s="389" customFormat="1">
      <c r="A1218" s="345" t="s">
        <v>181</v>
      </c>
      <c r="B1218" s="685">
        <f>'[3]Plan Tron'!B166</f>
        <v>380108</v>
      </c>
      <c r="C1218" s="49" t="str">
        <f>'[3]Plan Tron'!C166</f>
        <v>CPOS</v>
      </c>
      <c r="D1218" s="612" t="str">
        <f>UPPER('[3]Plan Tron'!D166)</f>
        <v>ELETRODUTO DE PVC RÍGIDO ROSCÁVEL DE 1 1/4´ - COM ACESSÓRIOS</v>
      </c>
      <c r="E1218" s="49" t="str">
        <f>UPPER('[3]Plan Tron'!E166)</f>
        <v>M</v>
      </c>
      <c r="F1218" s="686">
        <v>33</v>
      </c>
      <c r="G1218" s="11">
        <v>15.55</v>
      </c>
      <c r="H1218" s="10">
        <f>'[3]Plan Tron'!F166</f>
        <v>24.31</v>
      </c>
      <c r="I1218" s="11">
        <v>26.44</v>
      </c>
      <c r="J1218" s="10">
        <f t="shared" si="149"/>
        <v>30.74</v>
      </c>
      <c r="K1218" s="383">
        <v>0</v>
      </c>
      <c r="L1218" s="474">
        <f>F1218-K1218</f>
        <v>33</v>
      </c>
      <c r="M1218" s="471">
        <f t="shared" si="146"/>
        <v>1014.42</v>
      </c>
      <c r="N1218" s="405"/>
      <c r="O1218" s="541"/>
      <c r="P1218" s="405"/>
      <c r="Q1218" s="405"/>
      <c r="S1218" s="344" t="str">
        <f t="shared" si="144"/>
        <v>ELETRODUTO DE PVC RÍGIDO ROSCÁVEL DE 1 1/4´ - COM ACESSÓRIOS</v>
      </c>
    </row>
    <row r="1219" spans="1:19" s="389" customFormat="1">
      <c r="A1219" s="345" t="s">
        <v>180</v>
      </c>
      <c r="B1219" s="685">
        <f>'[3]Plan Tron'!B165</f>
        <v>380114</v>
      </c>
      <c r="C1219" s="49" t="str">
        <f>'[3]Plan Tron'!C165</f>
        <v>CPOS</v>
      </c>
      <c r="D1219" s="612" t="str">
        <f>UPPER('[3]Plan Tron'!D165)</f>
        <v xml:space="preserve">ELETRODUTO DE PVC RÍGIDO ROSCÁVEL DE 2 1/2´ - COM ACESSÓRIOS </v>
      </c>
      <c r="E1219" s="49" t="str">
        <f>UPPER('[3]Plan Tron'!E165)</f>
        <v>M</v>
      </c>
      <c r="F1219" s="686">
        <v>12</v>
      </c>
      <c r="G1219" s="11">
        <v>31</v>
      </c>
      <c r="H1219" s="10">
        <f>'[3]Plan Tron'!F165</f>
        <v>45.03</v>
      </c>
      <c r="I1219" s="11">
        <v>26.44</v>
      </c>
      <c r="J1219" s="10">
        <f t="shared" si="149"/>
        <v>56.94</v>
      </c>
      <c r="K1219" s="383">
        <v>0</v>
      </c>
      <c r="L1219" s="474">
        <f>F1219-K1219</f>
        <v>12</v>
      </c>
      <c r="M1219" s="471">
        <f t="shared" si="146"/>
        <v>683.28</v>
      </c>
      <c r="N1219" s="405"/>
      <c r="O1219" s="541"/>
      <c r="P1219" s="405"/>
      <c r="Q1219" s="405"/>
      <c r="S1219" s="344" t="str">
        <f t="shared" si="144"/>
        <v xml:space="preserve">ELETRODUTO DE PVC RÍGIDO ROSCÁVEL DE 2 1/2´ - COM ACESSÓRIOS </v>
      </c>
    </row>
    <row r="1220" spans="1:19" s="389" customFormat="1">
      <c r="A1220" s="345" t="s">
        <v>179</v>
      </c>
      <c r="B1220" s="685" t="str">
        <f>'[3]Plan Tron'!B53</f>
        <v xml:space="preserve">380404 </v>
      </c>
      <c r="C1220" s="49" t="str">
        <f>'[3]Plan Tron'!C53</f>
        <v>CPOS</v>
      </c>
      <c r="D1220" s="612" t="str">
        <f>'[3]Plan Tron'!D53</f>
        <v xml:space="preserve">ELETRODUTO DE FERRO GALVANIZADO, MÉDIO DE 3/4' - COM ACESSÓRIOS </v>
      </c>
      <c r="E1220" s="49" t="str">
        <f>'[3]Plan Tron'!E53</f>
        <v>M</v>
      </c>
      <c r="F1220" s="686">
        <v>48</v>
      </c>
      <c r="G1220" s="11">
        <v>19.86</v>
      </c>
      <c r="H1220" s="10">
        <f>'[3]Plan Tron'!F53</f>
        <v>20.7</v>
      </c>
      <c r="I1220" s="11">
        <v>26.44</v>
      </c>
      <c r="J1220" s="10">
        <f t="shared" si="149"/>
        <v>26.17</v>
      </c>
      <c r="K1220" s="383">
        <v>0</v>
      </c>
      <c r="L1220" s="474">
        <f>F1220-K1220</f>
        <v>48</v>
      </c>
      <c r="M1220" s="471">
        <f t="shared" si="146"/>
        <v>1256.1600000000001</v>
      </c>
      <c r="N1220" s="405"/>
      <c r="O1220" s="541"/>
      <c r="P1220" s="405"/>
      <c r="Q1220" s="405"/>
      <c r="S1220" s="344" t="str">
        <f t="shared" si="144"/>
        <v xml:space="preserve">ELETRODUTO DE FERRO GALVANIZADO, MÉDIO DE 3/4' - COM ACESSÓRIOS </v>
      </c>
    </row>
    <row r="1221" spans="1:19" s="389" customFormat="1">
      <c r="A1221" s="345" t="s">
        <v>178</v>
      </c>
      <c r="B1221" s="685" t="str">
        <f>'[3]Plan Tron'!B54</f>
        <v xml:space="preserve">380406 </v>
      </c>
      <c r="C1221" s="49" t="str">
        <f>'[3]Plan Tron'!C54</f>
        <v>CPOS</v>
      </c>
      <c r="D1221" s="612" t="str">
        <f>'[3]Plan Tron'!D54</f>
        <v xml:space="preserve">ELETRODUTO DE FERRO GALVANIZADO, MÉDIO DE 1' - COM ACESSÓRIOS </v>
      </c>
      <c r="E1221" s="49" t="str">
        <f>'[3]Plan Tron'!E54</f>
        <v>M</v>
      </c>
      <c r="F1221" s="686">
        <v>48</v>
      </c>
      <c r="G1221" s="11">
        <v>21.38</v>
      </c>
      <c r="H1221" s="10">
        <f>'[3]Plan Tron'!F54</f>
        <v>24.56</v>
      </c>
      <c r="I1221" s="11">
        <v>26.44</v>
      </c>
      <c r="J1221" s="10">
        <f t="shared" si="149"/>
        <v>31.05</v>
      </c>
      <c r="K1221" s="383">
        <v>0</v>
      </c>
      <c r="L1221" s="474">
        <f>F1221-K1221</f>
        <v>48</v>
      </c>
      <c r="M1221" s="471">
        <f t="shared" si="146"/>
        <v>1490.4</v>
      </c>
      <c r="N1221" s="405"/>
      <c r="O1221" s="541"/>
      <c r="P1221" s="405"/>
      <c r="Q1221" s="405"/>
      <c r="S1221" s="344" t="str">
        <f t="shared" si="144"/>
        <v xml:space="preserve">ELETRODUTO DE FERRO GALVANIZADO, MÉDIO DE 1' - COM ACESSÓRIOS </v>
      </c>
    </row>
    <row r="1222" spans="1:19" s="414" customFormat="1">
      <c r="A1222" s="410" t="s">
        <v>13</v>
      </c>
      <c r="B1222" s="428"/>
      <c r="C1222" s="410"/>
      <c r="D1222" s="429" t="s">
        <v>2152</v>
      </c>
      <c r="E1222" s="617" t="s">
        <v>76</v>
      </c>
      <c r="F1222" s="422"/>
      <c r="G1222" s="413"/>
      <c r="H1222" s="413"/>
      <c r="I1222" s="413"/>
      <c r="J1222" s="10"/>
      <c r="K1222" s="498"/>
      <c r="L1222" s="474"/>
      <c r="M1222" s="471"/>
      <c r="N1222" s="419"/>
      <c r="O1222" s="541"/>
      <c r="P1222" s="419"/>
      <c r="Q1222" s="419"/>
      <c r="S1222" s="414" t="str">
        <f t="shared" si="144"/>
        <v>ILUMINAÇÃO</v>
      </c>
    </row>
    <row r="1223" spans="1:19" s="344" customFormat="1" ht="25.5">
      <c r="A1223" s="49" t="s">
        <v>167</v>
      </c>
      <c r="B1223" s="50" t="str">
        <f>'[3]Plan Tron'!B97</f>
        <v xml:space="preserve">73953/006 </v>
      </c>
      <c r="C1223" s="49" t="str">
        <f>'[3]Plan Tron'!C97</f>
        <v>SINAPI</v>
      </c>
      <c r="D1223" s="130" t="str">
        <f>'[3]Plan Tron'!D97</f>
        <v>LUMINARIA TIPO CALHA, DE SOBREPOR, COM REATOR DE PARTIDA RAPIDA E LAMPADA FLUORESCENTE 2X40W, COMPLETA, FORNECIMENTO E INSTALACAO</v>
      </c>
      <c r="E1223" s="77" t="str">
        <f>'[3]Plan Tron'!E97</f>
        <v>UN.</v>
      </c>
      <c r="F1223" s="27">
        <v>6</v>
      </c>
      <c r="G1223" s="10">
        <v>73.319999999999993</v>
      </c>
      <c r="H1223" s="10">
        <f>'[3]Plan Tron'!F97</f>
        <v>95.01</v>
      </c>
      <c r="I1223" s="10">
        <v>26.44</v>
      </c>
      <c r="J1223" s="10">
        <f t="shared" si="149"/>
        <v>120.13</v>
      </c>
      <c r="K1223" s="383">
        <v>0</v>
      </c>
      <c r="L1223" s="474">
        <f>F1223-K1223</f>
        <v>6</v>
      </c>
      <c r="M1223" s="471">
        <f t="shared" si="146"/>
        <v>720.78</v>
      </c>
      <c r="N1223" s="405"/>
      <c r="O1223" s="541"/>
      <c r="P1223" s="405"/>
      <c r="Q1223" s="405"/>
      <c r="S1223" s="344" t="str">
        <f t="shared" si="144"/>
        <v>LUMINARIA TIPO CALHA, DE SOBREPOR, COM REATOR DE PARTIDA RAPIDA E LAMPADA FLUORESCENTE 2X40W, COMPLETA, FORNECIMENTO E INSTALACAO</v>
      </c>
    </row>
    <row r="1224" spans="1:19" s="414" customFormat="1">
      <c r="A1224" s="410" t="s">
        <v>12</v>
      </c>
      <c r="B1224" s="687"/>
      <c r="C1224" s="410"/>
      <c r="D1224" s="429" t="s">
        <v>2215</v>
      </c>
      <c r="E1224" s="617" t="s">
        <v>76</v>
      </c>
      <c r="F1224" s="422"/>
      <c r="G1224" s="413"/>
      <c r="H1224" s="413"/>
      <c r="I1224" s="413"/>
      <c r="J1224" s="10"/>
      <c r="K1224" s="498"/>
      <c r="L1224" s="474"/>
      <c r="M1224" s="471"/>
      <c r="N1224" s="419"/>
      <c r="O1224" s="541"/>
      <c r="P1224" s="419"/>
      <c r="Q1224" s="419"/>
      <c r="S1224" s="414" t="str">
        <f t="shared" si="144"/>
        <v>ATERRAMENTO E SPDA</v>
      </c>
    </row>
    <row r="1225" spans="1:19" s="389" customFormat="1">
      <c r="A1225" s="345" t="s">
        <v>162</v>
      </c>
      <c r="B1225" s="688">
        <f>'[3]Plan Tron'!B59</f>
        <v>72254</v>
      </c>
      <c r="C1225" s="49" t="str">
        <f>'[3]Plan Tron'!C59</f>
        <v>SINAPI</v>
      </c>
      <c r="D1225" s="612" t="str">
        <f>'[3]Plan Tron'!D59</f>
        <v>CABO DE COBRE NU, SEÇÃO 50 MM², ENCORDOAMENTO CLASSE 2.</v>
      </c>
      <c r="E1225" s="49" t="str">
        <f>'[3]Plan Tron'!E59</f>
        <v>M</v>
      </c>
      <c r="F1225" s="686">
        <v>50</v>
      </c>
      <c r="G1225" s="11">
        <v>22.41</v>
      </c>
      <c r="H1225" s="10">
        <f>'[3]Plan Tron'!F63</f>
        <v>31.11</v>
      </c>
      <c r="I1225" s="11">
        <v>26.44</v>
      </c>
      <c r="J1225" s="10">
        <f t="shared" si="149"/>
        <v>39.340000000000003</v>
      </c>
      <c r="K1225" s="383">
        <v>0</v>
      </c>
      <c r="L1225" s="474">
        <f>F1225-K1225</f>
        <v>50</v>
      </c>
      <c r="M1225" s="471">
        <f t="shared" si="146"/>
        <v>1967</v>
      </c>
      <c r="N1225" s="405"/>
      <c r="O1225" s="541"/>
      <c r="P1225" s="405"/>
      <c r="Q1225" s="405"/>
      <c r="S1225" s="344" t="str">
        <f t="shared" si="144"/>
        <v>CABO DE COBRE NU, SEÇÃO 50 MM², ENCORDOAMENTO CLASSE 2.</v>
      </c>
    </row>
    <row r="1226" spans="1:19" s="389" customFormat="1">
      <c r="A1226" s="345" t="s">
        <v>1406</v>
      </c>
      <c r="B1226" s="688">
        <f>'[3]Plan Tron'!B148</f>
        <v>72315</v>
      </c>
      <c r="C1226" s="49" t="str">
        <f>'[3]Plan Tron'!C148</f>
        <v>SINAPI</v>
      </c>
      <c r="D1226" s="612" t="str">
        <f>'[3]Plan Tron'!D148</f>
        <v xml:space="preserve">TERMINAL AEREO EM ACO GALVANIZADO COM BASE DE FIXACAO H = 30CM </v>
      </c>
      <c r="E1226" s="49" t="str">
        <f>'[3]Plan Tron'!E148</f>
        <v>UN.</v>
      </c>
      <c r="F1226" s="686">
        <v>4</v>
      </c>
      <c r="G1226" s="11">
        <v>17.12</v>
      </c>
      <c r="H1226" s="10">
        <f>'[3]Plan Tron'!F148</f>
        <v>25.6</v>
      </c>
      <c r="I1226" s="11">
        <v>26.44</v>
      </c>
      <c r="J1226" s="10">
        <f t="shared" si="149"/>
        <v>32.369999999999997</v>
      </c>
      <c r="K1226" s="383">
        <v>0</v>
      </c>
      <c r="L1226" s="474">
        <f>F1226-K1226</f>
        <v>4</v>
      </c>
      <c r="M1226" s="471">
        <f t="shared" si="146"/>
        <v>129.47999999999999</v>
      </c>
      <c r="N1226" s="405"/>
      <c r="O1226" s="541"/>
      <c r="P1226" s="405"/>
      <c r="Q1226" s="405"/>
      <c r="S1226" s="344" t="str">
        <f t="shared" si="144"/>
        <v xml:space="preserve">TERMINAL AEREO EM ACO GALVANIZADO COM BASE DE FIXACAO H = 30CM </v>
      </c>
    </row>
    <row r="1227" spans="1:19" s="389" customFormat="1">
      <c r="A1227" s="345" t="s">
        <v>1405</v>
      </c>
      <c r="B1227" s="685">
        <f>'[3]Plan Tron'!B60</f>
        <v>83484</v>
      </c>
      <c r="C1227" s="49" t="str">
        <f>'[3]Plan Tron'!C60</f>
        <v>SINAPI</v>
      </c>
      <c r="D1227" s="612" t="str">
        <f>'[3]Plan Tron'!D60</f>
        <v>HASTE DE ATERRAMENTO DE AÇO COBREADO Ø3/4"X3,0M.</v>
      </c>
      <c r="E1227" s="49" t="str">
        <f>'[3]Plan Tron'!E60</f>
        <v>PÇ.</v>
      </c>
      <c r="F1227" s="686">
        <v>7</v>
      </c>
      <c r="G1227" s="11">
        <v>47.99</v>
      </c>
      <c r="H1227" s="10">
        <f>'[3]Plan Tron'!F60</f>
        <v>61.62</v>
      </c>
      <c r="I1227" s="11">
        <v>26.44</v>
      </c>
      <c r="J1227" s="10">
        <f t="shared" si="149"/>
        <v>77.91</v>
      </c>
      <c r="K1227" s="383">
        <v>0</v>
      </c>
      <c r="L1227" s="474">
        <f>F1227-K1227</f>
        <v>7</v>
      </c>
      <c r="M1227" s="471">
        <f t="shared" si="146"/>
        <v>545.37</v>
      </c>
      <c r="N1227" s="405"/>
      <c r="O1227" s="541"/>
      <c r="P1227" s="405"/>
      <c r="Q1227" s="405"/>
      <c r="S1227" s="344" t="str">
        <f t="shared" si="144"/>
        <v>HASTE DE ATERRAMENTO DE AÇO COBREADO Ø3/4"X3,0M.</v>
      </c>
    </row>
    <row r="1228" spans="1:19" s="344" customFormat="1">
      <c r="A1228" s="49"/>
      <c r="B1228" s="50"/>
      <c r="C1228" s="49"/>
      <c r="D1228" s="65"/>
      <c r="E1228" s="18"/>
      <c r="F1228" s="51"/>
      <c r="G1228" s="316"/>
      <c r="H1228" s="20"/>
      <c r="I1228" s="20"/>
      <c r="J1228" s="20"/>
      <c r="K1228" s="65"/>
      <c r="L1228" s="474"/>
      <c r="M1228" s="472"/>
      <c r="N1228" s="405"/>
      <c r="O1228" s="541"/>
      <c r="P1228" s="405"/>
      <c r="Q1228" s="405"/>
    </row>
    <row r="1229" spans="1:19" s="344" customFormat="1">
      <c r="A1229" s="49"/>
      <c r="B1229" s="50"/>
      <c r="C1229" s="49"/>
      <c r="D1229" s="514"/>
      <c r="E1229" s="18"/>
      <c r="F1229" s="51"/>
      <c r="G1229" s="316"/>
      <c r="H1229" s="20"/>
      <c r="I1229" s="20"/>
      <c r="J1229" s="20"/>
      <c r="K1229" s="514"/>
      <c r="L1229" s="508"/>
      <c r="M1229" s="505"/>
      <c r="N1229" s="405"/>
      <c r="O1229" s="541"/>
      <c r="P1229" s="405"/>
      <c r="Q1229" s="405"/>
    </row>
    <row r="1230" spans="1:19" s="344" customFormat="1">
      <c r="A1230" s="296"/>
      <c r="B1230" s="44"/>
      <c r="C1230" s="44"/>
      <c r="D1230" s="511" t="s">
        <v>2369</v>
      </c>
      <c r="E1230" s="297"/>
      <c r="F1230" s="44"/>
      <c r="G1230" s="302"/>
      <c r="H1230" s="339"/>
      <c r="I1230" s="44"/>
      <c r="J1230" s="44"/>
      <c r="K1230" s="511"/>
      <c r="L1230" s="508"/>
      <c r="M1230" s="505">
        <f>SUM(M1204:M1228)</f>
        <v>56985.950000000004</v>
      </c>
      <c r="N1230" s="405"/>
      <c r="O1230" s="541"/>
      <c r="P1230" s="405"/>
      <c r="Q1230" s="405"/>
      <c r="S1230" s="344" t="str">
        <f>UPPER(D1230)</f>
        <v>TOTAL ITEM 24.4</v>
      </c>
    </row>
    <row r="1231" spans="1:19" s="344" customFormat="1">
      <c r="A1231" s="296"/>
      <c r="B1231" s="44"/>
      <c r="C1231" s="44"/>
      <c r="D1231" s="442"/>
      <c r="E1231" s="297"/>
      <c r="F1231" s="44"/>
      <c r="G1231" s="302"/>
      <c r="H1231" s="339"/>
      <c r="I1231" s="44"/>
      <c r="J1231" s="44"/>
      <c r="K1231" s="383"/>
      <c r="L1231" s="474"/>
      <c r="M1231" s="471"/>
      <c r="N1231" s="405"/>
      <c r="O1231" s="541"/>
      <c r="P1231" s="405"/>
      <c r="Q1231" s="405"/>
    </row>
    <row r="1232" spans="1:19" s="450" customFormat="1">
      <c r="A1232" s="445" t="s">
        <v>42</v>
      </c>
      <c r="B1232" s="446"/>
      <c r="C1232" s="447"/>
      <c r="D1232" s="448" t="s">
        <v>1973</v>
      </c>
      <c r="E1232" s="453" t="s">
        <v>76</v>
      </c>
      <c r="F1232" s="446"/>
      <c r="G1232" s="446"/>
      <c r="H1232" s="446"/>
      <c r="I1232" s="446"/>
      <c r="J1232" s="446"/>
      <c r="K1232" s="473"/>
      <c r="L1232" s="478"/>
      <c r="M1232" s="479"/>
      <c r="N1232" s="454"/>
      <c r="O1232" s="541"/>
      <c r="P1232" s="454"/>
      <c r="Q1232" s="454"/>
      <c r="S1232" s="450" t="str">
        <f t="shared" ref="S1232:S1249" si="150">UPPER(D1232)</f>
        <v>ESTAÇÃO ELEVATÓRIA DE LODO</v>
      </c>
    </row>
    <row r="1233" spans="1:19" s="344" customFormat="1">
      <c r="A1233" s="45">
        <v>1</v>
      </c>
      <c r="B1233" s="25"/>
      <c r="C1233" s="45"/>
      <c r="D1233" s="399" t="s">
        <v>2038</v>
      </c>
      <c r="E1233" s="24" t="s">
        <v>76</v>
      </c>
      <c r="F1233" s="21"/>
      <c r="G1233" s="10"/>
      <c r="H1233" s="10"/>
      <c r="I1233" s="148"/>
      <c r="J1233" s="148"/>
      <c r="K1233" s="383"/>
      <c r="L1233" s="474"/>
      <c r="M1233" s="471"/>
      <c r="N1233" s="405"/>
      <c r="O1233" s="541"/>
      <c r="P1233" s="405"/>
      <c r="Q1233" s="405"/>
      <c r="S1233" s="344" t="str">
        <f t="shared" si="150"/>
        <v>MOVIMENTO DE TERRA</v>
      </c>
    </row>
    <row r="1234" spans="1:19" s="414" customFormat="1">
      <c r="A1234" s="410" t="s">
        <v>20</v>
      </c>
      <c r="B1234" s="411"/>
      <c r="C1234" s="410"/>
      <c r="D1234" s="434" t="s">
        <v>2041</v>
      </c>
      <c r="E1234" s="424" t="s">
        <v>76</v>
      </c>
      <c r="F1234" s="422"/>
      <c r="G1234" s="413"/>
      <c r="H1234" s="413"/>
      <c r="I1234" s="671"/>
      <c r="J1234" s="671"/>
      <c r="K1234" s="498"/>
      <c r="L1234" s="474"/>
      <c r="M1234" s="471"/>
      <c r="N1234" s="419"/>
      <c r="O1234" s="541"/>
      <c r="P1234" s="419"/>
      <c r="Q1234" s="419"/>
      <c r="S1234" s="414" t="str">
        <f t="shared" si="150"/>
        <v>ESCAVAÇÃO DE VALAS</v>
      </c>
    </row>
    <row r="1235" spans="1:19" s="414" customFormat="1" ht="13.5" customHeight="1">
      <c r="A1235" s="410" t="s">
        <v>153</v>
      </c>
      <c r="B1235" s="411"/>
      <c r="C1235" s="410"/>
      <c r="D1235" s="434" t="s">
        <v>2233</v>
      </c>
      <c r="E1235" s="424" t="s">
        <v>76</v>
      </c>
      <c r="F1235" s="422"/>
      <c r="G1235" s="413"/>
      <c r="H1235" s="413"/>
      <c r="I1235" s="671"/>
      <c r="J1235" s="671"/>
      <c r="K1235" s="498"/>
      <c r="L1235" s="474"/>
      <c r="M1235" s="471"/>
      <c r="N1235" s="419"/>
      <c r="O1235" s="541"/>
      <c r="P1235" s="419"/>
      <c r="Q1235" s="419"/>
      <c r="S1235" s="414" t="str">
        <f t="shared" si="150"/>
        <v>ESCAVAÇÃO MANUAL DE VALAS</v>
      </c>
    </row>
    <row r="1236" spans="1:19" s="344" customFormat="1">
      <c r="A1236" s="49" t="s">
        <v>152</v>
      </c>
      <c r="B1236" s="49">
        <f>'[3]Plan Tron'!B7</f>
        <v>60202</v>
      </c>
      <c r="C1236" s="49" t="str">
        <f>'[3]Plan Tron'!C7</f>
        <v>CPOS</v>
      </c>
      <c r="D1236" s="645" t="str">
        <f>'[3]Plan Tron'!D7</f>
        <v xml:space="preserve">ESCAVAÇÃO MANUAL EM SOLO DE 1ª E 2ª CATEGORIA EM VALA OU CAVA ATÉ 1,50M </v>
      </c>
      <c r="E1236" s="77" t="str">
        <f>'[3]Plan Tron'!E7</f>
        <v>M³</v>
      </c>
      <c r="F1236" s="21">
        <v>37.520000000000003</v>
      </c>
      <c r="G1236" s="10">
        <v>34.450000000000003</v>
      </c>
      <c r="H1236" s="10">
        <f>'[3]Plan Tron'!F7</f>
        <v>34.020000000000003</v>
      </c>
      <c r="I1236" s="148">
        <v>26.44</v>
      </c>
      <c r="J1236" s="148">
        <f>ROUND(H1236*(I1236/100+1),2)</f>
        <v>43.01</v>
      </c>
      <c r="K1236" s="383">
        <v>0</v>
      </c>
      <c r="L1236" s="474">
        <f>F1236-K1236</f>
        <v>37.520000000000003</v>
      </c>
      <c r="M1236" s="471">
        <f t="shared" ref="M1236:M1296" si="151">ROUND(L1236*J1236,2)</f>
        <v>1613.74</v>
      </c>
      <c r="N1236" s="405"/>
      <c r="O1236" s="541"/>
      <c r="P1236" s="405"/>
      <c r="Q1236" s="405"/>
      <c r="S1236" s="344" t="str">
        <f t="shared" si="150"/>
        <v xml:space="preserve">ESCAVAÇÃO MANUAL EM SOLO DE 1ª E 2ª CATEGORIA EM VALA OU CAVA ATÉ 1,50M </v>
      </c>
    </row>
    <row r="1237" spans="1:19" s="344" customFormat="1">
      <c r="A1237" s="49" t="s">
        <v>320</v>
      </c>
      <c r="B1237" s="49">
        <f>'[3]Plan Tron'!B8</f>
        <v>60204</v>
      </c>
      <c r="C1237" s="49" t="str">
        <f>'[3]Plan Tron'!C8</f>
        <v>CPOS</v>
      </c>
      <c r="D1237" s="645" t="str">
        <f>'[3]Plan Tron'!D8</f>
        <v>ESCAVAÇÃO MANUAL EM SOLO DE 1ª E 2ª CATEGORIA EM VALA OU CAVA DE 1,5M A 3M</v>
      </c>
      <c r="E1237" s="77" t="str">
        <f>'[3]Plan Tron'!E8</f>
        <v>M³</v>
      </c>
      <c r="F1237" s="21">
        <v>15.27</v>
      </c>
      <c r="G1237" s="10">
        <v>44.29</v>
      </c>
      <c r="H1237" s="10">
        <f>'[3]Plan Tron'!F8</f>
        <v>44</v>
      </c>
      <c r="I1237" s="148">
        <v>26.44</v>
      </c>
      <c r="J1237" s="148">
        <f t="shared" ref="J1237:J1238" si="152">ROUND(H1237*(I1237/100+1),2)</f>
        <v>55.63</v>
      </c>
      <c r="K1237" s="383">
        <v>0</v>
      </c>
      <c r="L1237" s="474">
        <f>F1237-K1237</f>
        <v>15.27</v>
      </c>
      <c r="M1237" s="471">
        <f t="shared" si="151"/>
        <v>849.47</v>
      </c>
      <c r="N1237" s="405"/>
      <c r="O1237" s="541"/>
      <c r="P1237" s="405"/>
      <c r="Q1237" s="405"/>
      <c r="S1237" s="344" t="str">
        <f t="shared" si="150"/>
        <v>ESCAVAÇÃO MANUAL EM SOLO DE 1ª E 2ª CATEGORIA EM VALA OU CAVA DE 1,5M A 3M</v>
      </c>
    </row>
    <row r="1238" spans="1:19" s="344" customFormat="1">
      <c r="A1238" s="49" t="s">
        <v>1139</v>
      </c>
      <c r="B1238" s="49">
        <f>'[3]Plan Tron'!B9</f>
        <v>60204</v>
      </c>
      <c r="C1238" s="49" t="str">
        <f>'[3]Plan Tron'!C9</f>
        <v>CPOS</v>
      </c>
      <c r="D1238" s="645" t="str">
        <f>'[3]Plan Tron'!D9</f>
        <v>ESCAVAÇÃO MANUAL EM SOLO DE 1ª E 2ª CATEGORIA EM VALA OU CAVA DE 3M A 4,50M</v>
      </c>
      <c r="E1238" s="77" t="str">
        <f>'[3]Plan Tron'!E9</f>
        <v>M³</v>
      </c>
      <c r="F1238" s="21">
        <v>15.27</v>
      </c>
      <c r="G1238" s="10">
        <v>59.05</v>
      </c>
      <c r="H1238" s="10">
        <f>'[3]Plan Tron'!F9</f>
        <v>44</v>
      </c>
      <c r="I1238" s="148">
        <v>26.44</v>
      </c>
      <c r="J1238" s="148">
        <f t="shared" si="152"/>
        <v>55.63</v>
      </c>
      <c r="K1238" s="383">
        <v>0</v>
      </c>
      <c r="L1238" s="474">
        <f>F1238-K1238</f>
        <v>15.27</v>
      </c>
      <c r="M1238" s="471">
        <f t="shared" si="151"/>
        <v>849.47</v>
      </c>
      <c r="N1238" s="405"/>
      <c r="O1238" s="541"/>
      <c r="P1238" s="405"/>
      <c r="Q1238" s="405"/>
      <c r="S1238" s="344" t="str">
        <f t="shared" si="150"/>
        <v>ESCAVAÇÃO MANUAL EM SOLO DE 1ª E 2ª CATEGORIA EM VALA OU CAVA DE 3M A 4,50M</v>
      </c>
    </row>
    <row r="1239" spans="1:19" s="344" customFormat="1">
      <c r="A1239" s="49" t="s">
        <v>1138</v>
      </c>
      <c r="B1239" s="11" t="s">
        <v>1443</v>
      </c>
      <c r="C1239" s="49" t="s">
        <v>2015</v>
      </c>
      <c r="D1239" s="84" t="s">
        <v>2259</v>
      </c>
      <c r="E1239" s="24" t="s">
        <v>2335</v>
      </c>
      <c r="F1239" s="21">
        <v>9.16</v>
      </c>
      <c r="G1239" s="10">
        <v>78.739999999999995</v>
      </c>
      <c r="H1239" s="9">
        <f t="shared" ref="H1239" si="153">G1239*$P$7</f>
        <v>90.968322000000001</v>
      </c>
      <c r="I1239" s="148">
        <v>26.44</v>
      </c>
      <c r="J1239" s="148">
        <f>ROUND(H1239*(I1239/100+1),2)</f>
        <v>115.02</v>
      </c>
      <c r="K1239" s="383">
        <v>0</v>
      </c>
      <c r="L1239" s="474">
        <f>F1239-K1239</f>
        <v>9.16</v>
      </c>
      <c r="M1239" s="471">
        <f t="shared" si="151"/>
        <v>1053.58</v>
      </c>
      <c r="N1239" s="405"/>
      <c r="O1239" s="541"/>
      <c r="P1239" s="405"/>
      <c r="Q1239" s="405"/>
      <c r="S1239" s="344" t="str">
        <f t="shared" si="150"/>
        <v>ESCAVAÇÃO MANUAL DE VALA EM MAT. DE 1ªCAT (AREIA/ ARGILA/ PIÇARRA) ENTRE 4,50 E 6,0M.</v>
      </c>
    </row>
    <row r="1240" spans="1:19" s="414" customFormat="1">
      <c r="A1240" s="410" t="s">
        <v>151</v>
      </c>
      <c r="B1240" s="411"/>
      <c r="C1240" s="410"/>
      <c r="D1240" s="434" t="s">
        <v>2043</v>
      </c>
      <c r="E1240" s="424" t="s">
        <v>76</v>
      </c>
      <c r="F1240" s="422"/>
      <c r="G1240" s="413"/>
      <c r="H1240" s="413"/>
      <c r="I1240" s="671"/>
      <c r="J1240" s="671"/>
      <c r="K1240" s="498"/>
      <c r="L1240" s="474"/>
      <c r="M1240" s="471"/>
      <c r="N1240" s="419"/>
      <c r="O1240" s="541"/>
      <c r="P1240" s="419"/>
      <c r="Q1240" s="419"/>
      <c r="S1240" s="414" t="str">
        <f t="shared" si="150"/>
        <v>ESCAVAÇÃO MECÂNICA DE VALAS</v>
      </c>
    </row>
    <row r="1241" spans="1:19" s="344" customFormat="1" ht="25.5">
      <c r="A1241" s="49" t="s">
        <v>150</v>
      </c>
      <c r="B1241" s="49" t="str">
        <f>'[3]Plan Tron'!B6</f>
        <v xml:space="preserve">74151/001 </v>
      </c>
      <c r="C1241" s="49" t="str">
        <f>'[3]Plan Tron'!C6</f>
        <v>SINAPI</v>
      </c>
      <c r="D1241" s="614" t="str">
        <f>'[3]Plan Tron'!D6</f>
        <v>ESCAVACAO E CARGA MATERIAL 1A CATEGORIA, UTILIZANDO TRATOR DE ESTEIRAS DE 110 A 160HP COM LAMINA, PESO OPERACIONAL * 13T E PA CARREGADEIRA COM 170 HP.</v>
      </c>
      <c r="E1241" s="49" t="str">
        <f>'[3]Plan Tron'!E6</f>
        <v>M³</v>
      </c>
      <c r="F1241" s="21">
        <v>303.26</v>
      </c>
      <c r="G1241" s="10">
        <v>10.220000000000001</v>
      </c>
      <c r="H1241" s="10">
        <f>'[3]Plan Tron'!F6</f>
        <v>3.37</v>
      </c>
      <c r="I1241" s="148">
        <v>26.44</v>
      </c>
      <c r="J1241" s="148">
        <f>ROUND(H1241*(I1241/100+1),2)</f>
        <v>4.26</v>
      </c>
      <c r="K1241" s="383">
        <v>0</v>
      </c>
      <c r="L1241" s="474">
        <f>F1241-K1241</f>
        <v>303.26</v>
      </c>
      <c r="M1241" s="471">
        <f t="shared" si="151"/>
        <v>1291.8900000000001</v>
      </c>
      <c r="N1241" s="405"/>
      <c r="O1241" s="541"/>
      <c r="P1241" s="405"/>
      <c r="Q1241" s="405"/>
      <c r="S1241" s="344" t="str">
        <f t="shared" si="150"/>
        <v>ESCAVACAO E CARGA MATERIAL 1A CATEGORIA, UTILIZANDO TRATOR DE ESTEIRAS DE 110 A 160HP COM LAMINA, PESO OPERACIONAL * 13T E PA CARREGADEIRA COM 170 HP.</v>
      </c>
    </row>
    <row r="1242" spans="1:19" s="414" customFormat="1">
      <c r="A1242" s="410" t="s">
        <v>19</v>
      </c>
      <c r="B1242" s="411"/>
      <c r="C1242" s="410"/>
      <c r="D1242" s="434" t="s">
        <v>2111</v>
      </c>
      <c r="E1242" s="424" t="s">
        <v>76</v>
      </c>
      <c r="F1242" s="422"/>
      <c r="G1242" s="413"/>
      <c r="H1242" s="413"/>
      <c r="I1242" s="671"/>
      <c r="J1242" s="671"/>
      <c r="K1242" s="498"/>
      <c r="L1242" s="474"/>
      <c r="M1242" s="471"/>
      <c r="N1242" s="419"/>
      <c r="O1242" s="541"/>
      <c r="P1242" s="419"/>
      <c r="Q1242" s="419"/>
      <c r="S1242" s="414" t="str">
        <f t="shared" si="150"/>
        <v>ATERRO / REATERRO DE VALAS COM OU S/ COMPACTAÇÃO.</v>
      </c>
    </row>
    <row r="1243" spans="1:19" s="414" customFormat="1">
      <c r="A1243" s="410" t="s">
        <v>147</v>
      </c>
      <c r="B1243" s="411"/>
      <c r="C1243" s="410"/>
      <c r="D1243" s="434" t="s">
        <v>2045</v>
      </c>
      <c r="E1243" s="424" t="s">
        <v>76</v>
      </c>
      <c r="F1243" s="422"/>
      <c r="G1243" s="413"/>
      <c r="H1243" s="413"/>
      <c r="I1243" s="671"/>
      <c r="J1243" s="671"/>
      <c r="K1243" s="498"/>
      <c r="L1243" s="474"/>
      <c r="M1243" s="471"/>
      <c r="N1243" s="419"/>
      <c r="O1243" s="541"/>
      <c r="P1243" s="419"/>
      <c r="Q1243" s="419"/>
      <c r="S1243" s="414" t="str">
        <f t="shared" si="150"/>
        <v>REATERRO DE VALAS</v>
      </c>
    </row>
    <row r="1244" spans="1:19" s="344" customFormat="1">
      <c r="A1244" s="49" t="s">
        <v>146</v>
      </c>
      <c r="B1244" s="49" t="str">
        <f>'[3]Plan Tron'!B12</f>
        <v xml:space="preserve">73964/006 </v>
      </c>
      <c r="C1244" s="49" t="str">
        <f>'[3]Plan Tron'!C12</f>
        <v>SINAPI</v>
      </c>
      <c r="D1244" s="612" t="str">
        <f>'[3]Plan Tron'!D12</f>
        <v xml:space="preserve">REATERRO DE VALA COM COMPACTAÇÃO MANUAL </v>
      </c>
      <c r="E1244" s="49" t="str">
        <f>'[3]Plan Tron'!E12</f>
        <v>M³</v>
      </c>
      <c r="F1244" s="21">
        <v>305.58</v>
      </c>
      <c r="G1244" s="10">
        <v>39.369999999999997</v>
      </c>
      <c r="H1244" s="10">
        <f>'[3]Plan Tron'!F12</f>
        <v>49.62</v>
      </c>
      <c r="I1244" s="148">
        <v>26.44</v>
      </c>
      <c r="J1244" s="148">
        <f>ROUND(H1244*(I1244/100+1),2)</f>
        <v>62.74</v>
      </c>
      <c r="K1244" s="383">
        <v>0</v>
      </c>
      <c r="L1244" s="474">
        <f>F1244-K1244</f>
        <v>305.58</v>
      </c>
      <c r="M1244" s="471">
        <f t="shared" si="151"/>
        <v>19172.09</v>
      </c>
      <c r="N1244" s="405"/>
      <c r="O1244" s="541"/>
      <c r="P1244" s="405"/>
      <c r="Q1244" s="405"/>
      <c r="S1244" s="344" t="str">
        <f t="shared" si="150"/>
        <v xml:space="preserve">REATERRO DE VALA COM COMPACTAÇÃO MANUAL </v>
      </c>
    </row>
    <row r="1245" spans="1:19" s="414" customFormat="1">
      <c r="A1245" s="410" t="s">
        <v>18</v>
      </c>
      <c r="B1245" s="411"/>
      <c r="C1245" s="410"/>
      <c r="D1245" s="434" t="s">
        <v>2100</v>
      </c>
      <c r="E1245" s="424" t="s">
        <v>76</v>
      </c>
      <c r="F1245" s="422"/>
      <c r="G1245" s="413"/>
      <c r="H1245" s="413"/>
      <c r="I1245" s="671"/>
      <c r="J1245" s="671"/>
      <c r="K1245" s="498"/>
      <c r="L1245" s="474"/>
      <c r="M1245" s="471"/>
      <c r="N1245" s="419"/>
      <c r="O1245" s="541"/>
      <c r="P1245" s="419"/>
      <c r="Q1245" s="419"/>
      <c r="S1245" s="414" t="str">
        <f t="shared" si="150"/>
        <v>COMPACTAÇÃO OU APILOAMENTO</v>
      </c>
    </row>
    <row r="1246" spans="1:19" s="344" customFormat="1" ht="25.5">
      <c r="A1246" s="49" t="s">
        <v>201</v>
      </c>
      <c r="B1246" s="49">
        <f>'[3]Plan Tron'!B89</f>
        <v>94098</v>
      </c>
      <c r="C1246" s="49" t="str">
        <f>'[3]Plan Tron'!C89</f>
        <v>SINAPI</v>
      </c>
      <c r="D1246" s="84" t="str">
        <f>'[3]Plan Tron'!D89</f>
        <v>PREPARO DE FUNDO DE VALA COM LARGURA MENOR QUE 1,5 M, EM LOCAL COM NÍVEL ALTO DE INTERFERÊNCIA. AF_06/2016</v>
      </c>
      <c r="E1246" s="77" t="str">
        <f>'[3]Plan Tron'!E89</f>
        <v>M²</v>
      </c>
      <c r="F1246" s="21">
        <v>60.74</v>
      </c>
      <c r="G1246" s="10">
        <v>3.24</v>
      </c>
      <c r="H1246" s="10">
        <f>'[3]Plan Tron'!F89</f>
        <v>5.53</v>
      </c>
      <c r="I1246" s="148">
        <v>26.44</v>
      </c>
      <c r="J1246" s="148">
        <f>ROUND(H1246*(I1246/100+1),2)</f>
        <v>6.99</v>
      </c>
      <c r="K1246" s="383">
        <v>0</v>
      </c>
      <c r="L1246" s="474">
        <f>F1246-K1246</f>
        <v>60.74</v>
      </c>
      <c r="M1246" s="471">
        <f t="shared" si="151"/>
        <v>424.57</v>
      </c>
      <c r="N1246" s="405"/>
      <c r="O1246" s="541"/>
      <c r="P1246" s="405"/>
      <c r="Q1246" s="405"/>
      <c r="S1246" s="344" t="str">
        <f t="shared" si="150"/>
        <v>PREPARO DE FUNDO DE VALA COM LARGURA MENOR QUE 1,5 M, EM LOCAL COM NÍVEL ALTO DE INTERFERÊNCIA. AF_06/2016</v>
      </c>
    </row>
    <row r="1247" spans="1:19" s="414" customFormat="1">
      <c r="A1247" s="410" t="s">
        <v>17</v>
      </c>
      <c r="B1247" s="425"/>
      <c r="C1247" s="410"/>
      <c r="D1247" s="660" t="s">
        <v>2046</v>
      </c>
      <c r="E1247" s="640" t="s">
        <v>76</v>
      </c>
      <c r="F1247" s="430"/>
      <c r="G1247" s="659"/>
      <c r="H1247" s="659"/>
      <c r="I1247" s="671"/>
      <c r="J1247" s="671"/>
      <c r="K1247" s="498"/>
      <c r="L1247" s="474"/>
      <c r="M1247" s="471"/>
      <c r="N1247" s="419"/>
      <c r="O1247" s="541"/>
      <c r="P1247" s="419"/>
      <c r="Q1247" s="419"/>
      <c r="S1247" s="414" t="str">
        <f t="shared" si="150"/>
        <v>CARGA, DESCARGA E/OU TRANSPORTE DE MATERIAIS</v>
      </c>
    </row>
    <row r="1248" spans="1:19" s="344" customFormat="1">
      <c r="A1248" s="49" t="s">
        <v>195</v>
      </c>
      <c r="B1248" s="49">
        <f>'[3]Plan Tron'!B13</f>
        <v>72885</v>
      </c>
      <c r="C1248" s="49" t="str">
        <f>'[3]Plan Tron'!C13</f>
        <v>SINAPI</v>
      </c>
      <c r="D1248" s="167" t="str">
        <f>'[3]Plan Tron'!D13</f>
        <v>TRANSPORTE COMERCIAL COM CAMINHAO BASCULANTE 6 M3, RODOVIA EM LEITO NATURAL</v>
      </c>
      <c r="E1248" s="672" t="str">
        <f>'[3]Plan Tron'!E13</f>
        <v>M³ X KM</v>
      </c>
      <c r="F1248" s="51">
        <v>374.49</v>
      </c>
      <c r="G1248" s="20">
        <v>1.03</v>
      </c>
      <c r="H1248" s="20">
        <f>'[3]Plan Tron'!F13</f>
        <v>1.37</v>
      </c>
      <c r="I1248" s="148">
        <v>26.44</v>
      </c>
      <c r="J1248" s="148">
        <f>ROUND(H1248*(I1248/100+1),2)</f>
        <v>1.73</v>
      </c>
      <c r="K1248" s="383">
        <v>0</v>
      </c>
      <c r="L1248" s="474">
        <f>F1248-K1248</f>
        <v>374.49</v>
      </c>
      <c r="M1248" s="471">
        <f t="shared" si="151"/>
        <v>647.87</v>
      </c>
      <c r="N1248" s="405"/>
      <c r="O1248" s="541"/>
      <c r="P1248" s="405"/>
      <c r="Q1248" s="405"/>
      <c r="S1248" s="344" t="str">
        <f t="shared" si="150"/>
        <v>TRANSPORTE COMERCIAL COM CAMINHAO BASCULANTE 6 M3, RODOVIA EM LEITO NATURAL</v>
      </c>
    </row>
    <row r="1249" spans="1:19" s="344" customFormat="1" ht="25.5">
      <c r="A1249" s="49" t="s">
        <v>192</v>
      </c>
      <c r="B1249" s="49">
        <f>'[3]Plan Tron'!B14</f>
        <v>72888</v>
      </c>
      <c r="C1249" s="49" t="str">
        <f>'[3]Plan Tron'!C14</f>
        <v>SINAPI</v>
      </c>
      <c r="D1249" s="167" t="str">
        <f>'[3]Plan Tron'!D14</f>
        <v>CARGA, MANOBRAS E DESCARGA DE AREIA, BRITA, PEDRA DE MAO E SOLOS COM CAMINHAO BASCULANTE 6 M3 (DESCARGA LIVRE)</v>
      </c>
      <c r="E1249" s="672" t="str">
        <f>'[3]Plan Tron'!E14</f>
        <v>M³</v>
      </c>
      <c r="F1249" s="51">
        <v>74.900000000000006</v>
      </c>
      <c r="G1249" s="20">
        <v>0.81</v>
      </c>
      <c r="H1249" s="20">
        <f>'[3]Plan Tron'!F14</f>
        <v>0.96</v>
      </c>
      <c r="I1249" s="148">
        <v>26.44</v>
      </c>
      <c r="J1249" s="148">
        <f>ROUND(H1249*(I1249/100+1),2)</f>
        <v>1.21</v>
      </c>
      <c r="K1249" s="383">
        <v>0</v>
      </c>
      <c r="L1249" s="474">
        <f>F1249-K1249</f>
        <v>74.900000000000006</v>
      </c>
      <c r="M1249" s="471">
        <f t="shared" si="151"/>
        <v>90.63</v>
      </c>
      <c r="N1249" s="405"/>
      <c r="O1249" s="541"/>
      <c r="P1249" s="405"/>
      <c r="Q1249" s="405"/>
      <c r="S1249" s="344" t="str">
        <f t="shared" si="150"/>
        <v>CARGA, MANOBRAS E DESCARGA DE AREIA, BRITA, PEDRA DE MAO E SOLOS COM CAMINHAO BASCULANTE 6 M3 (DESCARGA LIVRE)</v>
      </c>
    </row>
    <row r="1250" spans="1:19" s="344" customFormat="1">
      <c r="A1250" s="49"/>
      <c r="B1250" s="17"/>
      <c r="C1250" s="49"/>
      <c r="D1250" s="17"/>
      <c r="E1250" s="7"/>
      <c r="F1250" s="10"/>
      <c r="G1250" s="21"/>
      <c r="H1250" s="21"/>
      <c r="I1250" s="148"/>
      <c r="J1250" s="148"/>
      <c r="K1250" s="17"/>
      <c r="L1250" s="474"/>
      <c r="M1250" s="471"/>
      <c r="N1250" s="405"/>
      <c r="O1250" s="541"/>
      <c r="P1250" s="405"/>
      <c r="Q1250" s="405"/>
    </row>
    <row r="1251" spans="1:19" s="344" customFormat="1">
      <c r="A1251" s="49"/>
      <c r="B1251" s="17"/>
      <c r="C1251" s="49"/>
      <c r="D1251" s="53" t="s">
        <v>76</v>
      </c>
      <c r="E1251" s="7" t="s">
        <v>76</v>
      </c>
      <c r="F1251" s="10"/>
      <c r="G1251" s="21"/>
      <c r="H1251" s="21"/>
      <c r="I1251" s="148"/>
      <c r="J1251" s="148"/>
      <c r="K1251" s="383"/>
      <c r="L1251" s="474"/>
      <c r="M1251" s="471"/>
      <c r="N1251" s="405"/>
      <c r="O1251" s="541"/>
      <c r="P1251" s="405"/>
      <c r="Q1251" s="405"/>
      <c r="S1251" s="344" t="str">
        <f t="shared" ref="S1251:S1274" si="154">UPPER(D1251)</f>
        <v/>
      </c>
    </row>
    <row r="1252" spans="1:19" s="344" customFormat="1">
      <c r="A1252" s="45">
        <v>2</v>
      </c>
      <c r="B1252" s="23"/>
      <c r="C1252" s="45"/>
      <c r="D1252" s="399" t="s">
        <v>2054</v>
      </c>
      <c r="E1252" s="24" t="s">
        <v>76</v>
      </c>
      <c r="F1252" s="21"/>
      <c r="G1252" s="10"/>
      <c r="H1252" s="10"/>
      <c r="I1252" s="148"/>
      <c r="J1252" s="148"/>
      <c r="K1252" s="383"/>
      <c r="L1252" s="474"/>
      <c r="M1252" s="471"/>
      <c r="N1252" s="405"/>
      <c r="O1252" s="541"/>
      <c r="P1252" s="405"/>
      <c r="Q1252" s="405"/>
      <c r="S1252" s="344" t="str">
        <f t="shared" si="154"/>
        <v>FUNDAÇÕES E ESTRUTURAS</v>
      </c>
    </row>
    <row r="1253" spans="1:19" s="414" customFormat="1">
      <c r="A1253" s="410" t="s">
        <v>9</v>
      </c>
      <c r="B1253" s="673"/>
      <c r="C1253" s="410"/>
      <c r="D1253" s="637" t="s">
        <v>2055</v>
      </c>
      <c r="E1253" s="424" t="s">
        <v>76</v>
      </c>
      <c r="F1253" s="422"/>
      <c r="G1253" s="413"/>
      <c r="H1253" s="413"/>
      <c r="I1253" s="671"/>
      <c r="J1253" s="671"/>
      <c r="K1253" s="498"/>
      <c r="L1253" s="474"/>
      <c r="M1253" s="471"/>
      <c r="N1253" s="419"/>
      <c r="O1253" s="541"/>
      <c r="P1253" s="419"/>
      <c r="Q1253" s="419"/>
      <c r="S1253" s="414" t="str">
        <f t="shared" si="154"/>
        <v>LASTROS / FUNDAÇÕES DIRETAS</v>
      </c>
    </row>
    <row r="1254" spans="1:19" s="414" customFormat="1">
      <c r="A1254" s="410" t="s">
        <v>348</v>
      </c>
      <c r="B1254" s="673"/>
      <c r="C1254" s="410"/>
      <c r="D1254" s="637" t="s">
        <v>2056</v>
      </c>
      <c r="E1254" s="424" t="s">
        <v>76</v>
      </c>
      <c r="F1254" s="422"/>
      <c r="G1254" s="413"/>
      <c r="H1254" s="413"/>
      <c r="I1254" s="671"/>
      <c r="J1254" s="671"/>
      <c r="K1254" s="498"/>
      <c r="L1254" s="474"/>
      <c r="M1254" s="471"/>
      <c r="N1254" s="419"/>
      <c r="O1254" s="541"/>
      <c r="P1254" s="419"/>
      <c r="Q1254" s="419"/>
      <c r="S1254" s="414" t="str">
        <f t="shared" si="154"/>
        <v>LASTRO DE PEDRA BRITADA E FUNDAÇÕES EM BALDRAME.</v>
      </c>
    </row>
    <row r="1255" spans="1:19" s="344" customFormat="1">
      <c r="A1255" s="49" t="s">
        <v>417</v>
      </c>
      <c r="B1255" s="49">
        <f>'[3]Plan Tron'!B18</f>
        <v>6514</v>
      </c>
      <c r="C1255" s="49" t="str">
        <f>'[3]Plan Tron'!C18</f>
        <v>SINAPI</v>
      </c>
      <c r="D1255" s="118" t="str">
        <f>'[3]Plan Tron'!D18</f>
        <v xml:space="preserve">FORNECIMENTO E LANCAMENTO DE BRITA N. 4 </v>
      </c>
      <c r="E1255" s="77" t="str">
        <f>'[3]Plan Tron'!E18</f>
        <v>M³</v>
      </c>
      <c r="F1255" s="21">
        <v>0.51</v>
      </c>
      <c r="G1255" s="10">
        <f>G78</f>
        <v>74.28</v>
      </c>
      <c r="H1255" s="10">
        <f>'[3]Plan Tron'!F18</f>
        <v>88.38</v>
      </c>
      <c r="I1255" s="148">
        <v>26.44</v>
      </c>
      <c r="J1255" s="148">
        <f>ROUND(H1255*(I1255/100+1),2)</f>
        <v>111.75</v>
      </c>
      <c r="K1255" s="383">
        <v>0</v>
      </c>
      <c r="L1255" s="474">
        <f>F1255-K1255</f>
        <v>0.51</v>
      </c>
      <c r="M1255" s="471">
        <f t="shared" si="151"/>
        <v>56.99</v>
      </c>
      <c r="N1255" s="405"/>
      <c r="O1255" s="541"/>
      <c r="P1255" s="405"/>
      <c r="Q1255" s="405"/>
      <c r="S1255" s="344" t="str">
        <f t="shared" si="154"/>
        <v xml:space="preserve">FORNECIMENTO E LANCAMENTO DE BRITA N. 4 </v>
      </c>
    </row>
    <row r="1256" spans="1:19" s="414" customFormat="1">
      <c r="A1256" s="410" t="s">
        <v>8</v>
      </c>
      <c r="B1256" s="646"/>
      <c r="C1256" s="410"/>
      <c r="D1256" s="647" t="s">
        <v>2058</v>
      </c>
      <c r="E1256" s="648" t="s">
        <v>76</v>
      </c>
      <c r="F1256" s="674"/>
      <c r="G1256" s="413"/>
      <c r="H1256" s="413"/>
      <c r="I1256" s="671"/>
      <c r="J1256" s="671"/>
      <c r="K1256" s="498"/>
      <c r="L1256" s="474"/>
      <c r="M1256" s="471"/>
      <c r="N1256" s="419"/>
      <c r="O1256" s="541"/>
      <c r="P1256" s="419"/>
      <c r="Q1256" s="419"/>
      <c r="S1256" s="414" t="str">
        <f t="shared" si="154"/>
        <v>FORMAS / CIMBRAMENTOS / ESCORAMENTOS</v>
      </c>
    </row>
    <row r="1257" spans="1:19" s="344" customFormat="1">
      <c r="A1257" s="49" t="s">
        <v>317</v>
      </c>
      <c r="B1257" s="49">
        <f>'[3]Plan Tron'!B20</f>
        <v>5651</v>
      </c>
      <c r="C1257" s="49" t="str">
        <f>'[3]Plan Tron'!C20</f>
        <v>SINAPI</v>
      </c>
      <c r="D1257" s="115" t="str">
        <f>'[3]Plan Tron'!D20</f>
        <v>FORMA DE MADEIRA COMUM PARA FUNDAÇÕES - REAPROVEITAMENTO 5X.</v>
      </c>
      <c r="E1257" s="675" t="str">
        <f>'[3]Plan Tron'!E20</f>
        <v>M²</v>
      </c>
      <c r="F1257" s="21">
        <v>13.88</v>
      </c>
      <c r="G1257" s="10">
        <v>22.96</v>
      </c>
      <c r="H1257" s="10">
        <f>'[3]Plan Tron'!F20</f>
        <v>29.01</v>
      </c>
      <c r="I1257" s="148">
        <v>26.44</v>
      </c>
      <c r="J1257" s="148">
        <f>ROUND(H1257*(I1257/100+1),2)</f>
        <v>36.68</v>
      </c>
      <c r="K1257" s="383">
        <v>0</v>
      </c>
      <c r="L1257" s="474">
        <f>F1257-K1257</f>
        <v>13.88</v>
      </c>
      <c r="M1257" s="471">
        <f t="shared" si="151"/>
        <v>509.12</v>
      </c>
      <c r="N1257" s="405"/>
      <c r="O1257" s="541"/>
      <c r="P1257" s="405"/>
      <c r="Q1257" s="405"/>
      <c r="S1257" s="344" t="str">
        <f t="shared" si="154"/>
        <v>FORMA DE MADEIRA COMUM PARA FUNDAÇÕES - REAPROVEITAMENTO 5X.</v>
      </c>
    </row>
    <row r="1258" spans="1:19" s="344" customFormat="1" ht="25.5">
      <c r="A1258" s="49" t="s">
        <v>316</v>
      </c>
      <c r="B1258" s="49" t="str">
        <f>'[3]Plan Tron'!B74</f>
        <v xml:space="preserve">92264 </v>
      </c>
      <c r="C1258" s="49" t="str">
        <f>'[3]Plan Tron'!C74</f>
        <v>SINAPI</v>
      </c>
      <c r="D1258" s="118" t="str">
        <f>'[3]Plan Tron'!D74</f>
        <v>FABRICAÇÃO DE FÔRMA PARA PILARES E ESTRUTURAS SIMILARES, EM CHAPA DE MADEIRA COMPENSADA PLASTIFICADA, E = 18 MM. AF_12/2015</v>
      </c>
      <c r="E1258" s="34" t="str">
        <f>'[3]Plan Tron'!E74</f>
        <v>M²</v>
      </c>
      <c r="F1258" s="21">
        <v>67.92</v>
      </c>
      <c r="G1258" s="10">
        <v>32.619999999999997</v>
      </c>
      <c r="H1258" s="10">
        <f>'[3]Plan Tron'!F74</f>
        <v>99.07</v>
      </c>
      <c r="I1258" s="148">
        <v>26.44</v>
      </c>
      <c r="J1258" s="148">
        <f>ROUND(H1258*(I1258/100+1),2)</f>
        <v>125.26</v>
      </c>
      <c r="K1258" s="383">
        <v>0</v>
      </c>
      <c r="L1258" s="474">
        <f>F1258-K1258</f>
        <v>67.92</v>
      </c>
      <c r="M1258" s="471">
        <f t="shared" si="151"/>
        <v>8507.66</v>
      </c>
      <c r="N1258" s="405"/>
      <c r="O1258" s="541"/>
      <c r="P1258" s="405"/>
      <c r="Q1258" s="405"/>
      <c r="S1258" s="344" t="str">
        <f t="shared" si="154"/>
        <v>FABRICAÇÃO DE FÔRMA PARA PILARES E ESTRUTURAS SIMILARES, EM CHAPA DE MADEIRA COMPENSADA PLASTIFICADA, E = 18 MM. AF_12/2015</v>
      </c>
    </row>
    <row r="1259" spans="1:19" s="414" customFormat="1">
      <c r="A1259" s="410" t="s">
        <v>315</v>
      </c>
      <c r="B1259" s="646"/>
      <c r="C1259" s="410"/>
      <c r="D1259" s="637" t="s">
        <v>2234</v>
      </c>
      <c r="E1259" s="676" t="s">
        <v>76</v>
      </c>
      <c r="F1259" s="422"/>
      <c r="G1259" s="413"/>
      <c r="H1259" s="413"/>
      <c r="I1259" s="671"/>
      <c r="J1259" s="671"/>
      <c r="K1259" s="498"/>
      <c r="L1259" s="474"/>
      <c r="M1259" s="471"/>
      <c r="N1259" s="419"/>
      <c r="O1259" s="541"/>
      <c r="P1259" s="419"/>
      <c r="Q1259" s="419"/>
      <c r="S1259" s="414" t="str">
        <f t="shared" si="154"/>
        <v>FORMA PARA VIGA, PILAR E PAREDE</v>
      </c>
    </row>
    <row r="1260" spans="1:19" s="344" customFormat="1">
      <c r="A1260" s="49" t="s">
        <v>987</v>
      </c>
      <c r="B1260" s="49" t="str">
        <f>'[3]Plan Tron'!B65</f>
        <v xml:space="preserve">090206 </v>
      </c>
      <c r="C1260" s="49" t="str">
        <f>'[3]Plan Tron'!C65</f>
        <v>CPOS</v>
      </c>
      <c r="D1260" s="118" t="str">
        <f>'[3]Plan Tron'!D65</f>
        <v xml:space="preserve">FORMA CURVA EM COMPENSADO PARA ESTRUTURA APARENTE </v>
      </c>
      <c r="E1260" s="34" t="str">
        <f>'[3]Plan Tron'!E65</f>
        <v>M²</v>
      </c>
      <c r="F1260" s="21">
        <v>18.43</v>
      </c>
      <c r="G1260" s="10">
        <v>84.77</v>
      </c>
      <c r="H1260" s="10">
        <f>'[3]Plan Tron'!F65</f>
        <v>107.03</v>
      </c>
      <c r="I1260" s="148">
        <v>26.44</v>
      </c>
      <c r="J1260" s="148">
        <f>ROUND(H1260*(I1260/100+1),2)</f>
        <v>135.33000000000001</v>
      </c>
      <c r="K1260" s="383">
        <v>0</v>
      </c>
      <c r="L1260" s="474">
        <f>F1260-K1260</f>
        <v>18.43</v>
      </c>
      <c r="M1260" s="471">
        <f t="shared" si="151"/>
        <v>2494.13</v>
      </c>
      <c r="N1260" s="405"/>
      <c r="O1260" s="541"/>
      <c r="P1260" s="405"/>
      <c r="Q1260" s="405"/>
      <c r="S1260" s="344" t="str">
        <f t="shared" si="154"/>
        <v xml:space="preserve">FORMA CURVA EM COMPENSADO PARA ESTRUTURA APARENTE </v>
      </c>
    </row>
    <row r="1261" spans="1:19" s="344" customFormat="1">
      <c r="A1261" s="49" t="s">
        <v>723</v>
      </c>
      <c r="B1261" s="49" t="str">
        <f>'[3]Plan Tron'!B66</f>
        <v xml:space="preserve">080202 </v>
      </c>
      <c r="C1261" s="49" t="str">
        <f>'[3]Plan Tron'!C66</f>
        <v>CPOS</v>
      </c>
      <c r="D1261" s="118" t="str">
        <f>'[3]Plan Tron'!D66</f>
        <v>CIMBRAMENTO EM MADEIRA COM ESTRONCAS DE EUCALIPTO</v>
      </c>
      <c r="E1261" s="34" t="str">
        <f>'[3]Plan Tron'!E66</f>
        <v>M³</v>
      </c>
      <c r="F1261" s="21">
        <v>13.91</v>
      </c>
      <c r="G1261" s="10">
        <v>25.02</v>
      </c>
      <c r="H1261" s="10">
        <f>'[3]Plan Tron'!F66</f>
        <v>27.46</v>
      </c>
      <c r="I1261" s="148">
        <v>26.44</v>
      </c>
      <c r="J1261" s="148">
        <f t="shared" ref="J1261:J1274" si="155">ROUND(H1261*(I1261/100+1),2)</f>
        <v>34.72</v>
      </c>
      <c r="K1261" s="383">
        <v>0</v>
      </c>
      <c r="L1261" s="474">
        <f>F1261-K1261</f>
        <v>13.91</v>
      </c>
      <c r="M1261" s="471">
        <f t="shared" si="151"/>
        <v>482.96</v>
      </c>
      <c r="N1261" s="405"/>
      <c r="O1261" s="541"/>
      <c r="P1261" s="405"/>
      <c r="Q1261" s="405"/>
      <c r="S1261" s="344" t="str">
        <f t="shared" si="154"/>
        <v>CIMBRAMENTO EM MADEIRA COM ESTRONCAS DE EUCALIPTO</v>
      </c>
    </row>
    <row r="1262" spans="1:19" s="414" customFormat="1">
      <c r="A1262" s="410" t="s">
        <v>7</v>
      </c>
      <c r="B1262" s="673"/>
      <c r="C1262" s="410"/>
      <c r="D1262" s="637" t="s">
        <v>2059</v>
      </c>
      <c r="E1262" s="638" t="s">
        <v>76</v>
      </c>
      <c r="F1262" s="677"/>
      <c r="G1262" s="413"/>
      <c r="H1262" s="413"/>
      <c r="I1262" s="671"/>
      <c r="J1262" s="148"/>
      <c r="K1262" s="498"/>
      <c r="L1262" s="474"/>
      <c r="M1262" s="471"/>
      <c r="N1262" s="419"/>
      <c r="O1262" s="541"/>
      <c r="P1262" s="419"/>
      <c r="Q1262" s="419"/>
      <c r="S1262" s="414" t="str">
        <f t="shared" si="154"/>
        <v>ARMADURAS</v>
      </c>
    </row>
    <row r="1263" spans="1:19" s="414" customFormat="1">
      <c r="A1263" s="410" t="s">
        <v>314</v>
      </c>
      <c r="B1263" s="673"/>
      <c r="C1263" s="410"/>
      <c r="D1263" s="637" t="s">
        <v>2235</v>
      </c>
      <c r="E1263" s="638" t="s">
        <v>76</v>
      </c>
      <c r="F1263" s="677"/>
      <c r="G1263" s="413"/>
      <c r="H1263" s="413"/>
      <c r="I1263" s="671"/>
      <c r="J1263" s="148"/>
      <c r="K1263" s="498"/>
      <c r="L1263" s="474"/>
      <c r="M1263" s="471"/>
      <c r="N1263" s="419"/>
      <c r="O1263" s="541"/>
      <c r="P1263" s="419"/>
      <c r="Q1263" s="419"/>
      <c r="S1263" s="414" t="str">
        <f t="shared" si="154"/>
        <v>ARMAÇÃO EM AÇO CA-60 PARA ESTRUTURAS DE CONCRETO.</v>
      </c>
    </row>
    <row r="1264" spans="1:19" s="344" customFormat="1" ht="25.5">
      <c r="A1264" s="49" t="s">
        <v>313</v>
      </c>
      <c r="B1264" s="49">
        <f>'[3]Plan Tron'!B21</f>
        <v>92761</v>
      </c>
      <c r="C1264" s="49" t="str">
        <f>'[3]Plan Tron'!C21</f>
        <v>SINAPI</v>
      </c>
      <c r="D1264" s="118" t="str">
        <f>'[3]Plan Tron'!D21</f>
        <v>ARMAÇÃO DE PILAR OU VIGA DE UMA ESTRUTURA CONVENCIONAL DE CONCRETO ARMADO EM UM EDIFÍCIO DE MÚLTIPLOS PAVIMENTOS UTILIZANDO AÇO CA-50 DE 8.0MM - MONTAGEM. AF_12/2015</v>
      </c>
      <c r="E1264" s="678" t="str">
        <f>'[3]Plan Tron'!E21</f>
        <v>KG</v>
      </c>
      <c r="F1264" s="120">
        <v>948</v>
      </c>
      <c r="G1264" s="10">
        <v>6.16</v>
      </c>
      <c r="H1264" s="10">
        <f>'[3]Plan Tron'!F21</f>
        <v>9.44</v>
      </c>
      <c r="I1264" s="148">
        <v>26.44</v>
      </c>
      <c r="J1264" s="148">
        <f t="shared" si="155"/>
        <v>11.94</v>
      </c>
      <c r="K1264" s="383">
        <v>0</v>
      </c>
      <c r="L1264" s="474">
        <f>F1264-K1264</f>
        <v>948</v>
      </c>
      <c r="M1264" s="471">
        <f t="shared" si="151"/>
        <v>11319.12</v>
      </c>
      <c r="N1264" s="405"/>
      <c r="O1264" s="541"/>
      <c r="P1264" s="405"/>
      <c r="Q1264" s="405"/>
      <c r="S1264" s="344" t="str">
        <f t="shared" si="154"/>
        <v>ARMAÇÃO DE PILAR OU VIGA DE UMA ESTRUTURA CONVENCIONAL DE CONCRETO ARMADO EM UM EDIFÍCIO DE MÚLTIPLOS PAVIMENTOS UTILIZANDO AÇO CA-50 DE 8.0MM - MONTAGEM. AF_12/2015</v>
      </c>
    </row>
    <row r="1265" spans="1:19" s="414" customFormat="1">
      <c r="A1265" s="410" t="s">
        <v>347</v>
      </c>
      <c r="B1265" s="673"/>
      <c r="C1265" s="410"/>
      <c r="D1265" s="637" t="s">
        <v>2060</v>
      </c>
      <c r="E1265" s="638" t="s">
        <v>76</v>
      </c>
      <c r="F1265" s="679"/>
      <c r="G1265" s="413"/>
      <c r="H1265" s="413"/>
      <c r="I1265" s="671"/>
      <c r="J1265" s="148"/>
      <c r="K1265" s="498"/>
      <c r="L1265" s="474"/>
      <c r="M1265" s="471"/>
      <c r="N1265" s="419"/>
      <c r="O1265" s="541"/>
      <c r="P1265" s="419"/>
      <c r="Q1265" s="419"/>
      <c r="S1265" s="414" t="str">
        <f t="shared" si="154"/>
        <v>ARMAÇÃO EM AÇO CA-50 PARA ESTRUTURAS DE CONCRETO.</v>
      </c>
    </row>
    <row r="1266" spans="1:19" s="344" customFormat="1" ht="25.5">
      <c r="A1266" s="49" t="s">
        <v>1273</v>
      </c>
      <c r="B1266" s="49">
        <f>'[3]Plan Tron'!B91</f>
        <v>92765</v>
      </c>
      <c r="C1266" s="49" t="str">
        <f>'[3]Plan Tron'!C91</f>
        <v>SINAPI</v>
      </c>
      <c r="D1266" s="118" t="str">
        <f>'[3]Plan Tron'!D91</f>
        <v>ARMAÇÃO DE PILAR OU VIGA DE UMA ESTRUTURA CONVENCIONAL DE CONCRETO ARMADO EM UM EDIFÍCIO DE MÚLTIPLOS PAVIMENTOS UTILIZANDO AÇO CA-50 DE 20.0 MM - MONTAGEM. AF_12/2015</v>
      </c>
      <c r="E1266" s="678" t="str">
        <f>'[3]Plan Tron'!E91</f>
        <v>KG</v>
      </c>
      <c r="F1266" s="21">
        <v>584</v>
      </c>
      <c r="G1266" s="10">
        <v>6.66</v>
      </c>
      <c r="H1266" s="10">
        <f>'[3]Plan Tron'!F91</f>
        <v>4.32</v>
      </c>
      <c r="I1266" s="148">
        <v>26.44</v>
      </c>
      <c r="J1266" s="148">
        <f t="shared" si="155"/>
        <v>5.46</v>
      </c>
      <c r="K1266" s="383">
        <v>0</v>
      </c>
      <c r="L1266" s="474">
        <f>F1266-K1266</f>
        <v>584</v>
      </c>
      <c r="M1266" s="471">
        <f t="shared" si="151"/>
        <v>3188.64</v>
      </c>
      <c r="N1266" s="405"/>
      <c r="O1266" s="541"/>
      <c r="P1266" s="405"/>
      <c r="Q1266" s="405"/>
      <c r="S1266" s="344" t="str">
        <f t="shared" si="154"/>
        <v>ARMAÇÃO DE PILAR OU VIGA DE UMA ESTRUTURA CONVENCIONAL DE CONCRETO ARMADO EM UM EDIFÍCIO DE MÚLTIPLOS PAVIMENTOS UTILIZANDO AÇO CA-50 DE 20.0 MM - MONTAGEM. AF_12/2015</v>
      </c>
    </row>
    <row r="1267" spans="1:19" s="344" customFormat="1" ht="25.5">
      <c r="A1267" s="49" t="s">
        <v>1272</v>
      </c>
      <c r="B1267" s="49">
        <f>'[3]Plan Tron'!B90</f>
        <v>92763</v>
      </c>
      <c r="C1267" s="49" t="str">
        <f>'[3]Plan Tron'!C90</f>
        <v>SINAPI</v>
      </c>
      <c r="D1267" s="118" t="str">
        <f>'[3]Plan Tron'!D90</f>
        <v>ARMAÇÃO DE PILAR OU VIGA DE UMA ESTRUTURA CONVENCIONAL DE CONCRETO ARMADO EM UM EDIFÍCIO DE MÚLTIPLOS PAVIMENTOS UTILIZANDO AÇO CA-50 DE 12.5 MM - MONTAGEM. AF_12/2015</v>
      </c>
      <c r="E1267" s="678" t="str">
        <f>'[3]Plan Tron'!E90</f>
        <v>KG</v>
      </c>
      <c r="F1267" s="21">
        <v>1299</v>
      </c>
      <c r="G1267" s="10">
        <f>G85</f>
        <v>5.9</v>
      </c>
      <c r="H1267" s="10">
        <f>'[3]Plan Tron'!F90</f>
        <v>6.29</v>
      </c>
      <c r="I1267" s="148">
        <v>26.44</v>
      </c>
      <c r="J1267" s="148">
        <f t="shared" si="155"/>
        <v>7.95</v>
      </c>
      <c r="K1267" s="383">
        <v>0</v>
      </c>
      <c r="L1267" s="474">
        <f>F1267-K1267</f>
        <v>1299</v>
      </c>
      <c r="M1267" s="471">
        <f t="shared" si="151"/>
        <v>10327.049999999999</v>
      </c>
      <c r="N1267" s="405"/>
      <c r="O1267" s="541"/>
      <c r="P1267" s="405"/>
      <c r="Q1267" s="405"/>
      <c r="S1267" s="344" t="str">
        <f t="shared" si="154"/>
        <v>ARMAÇÃO DE PILAR OU VIGA DE UMA ESTRUTURA CONVENCIONAL DE CONCRETO ARMADO EM UM EDIFÍCIO DE MÚLTIPLOS PAVIMENTOS UTILIZANDO AÇO CA-50 DE 12.5 MM - MONTAGEM. AF_12/2015</v>
      </c>
    </row>
    <row r="1268" spans="1:19" s="414" customFormat="1">
      <c r="A1268" s="410" t="s">
        <v>6</v>
      </c>
      <c r="B1268" s="646"/>
      <c r="C1268" s="410"/>
      <c r="D1268" s="647" t="s">
        <v>2061</v>
      </c>
      <c r="E1268" s="648" t="s">
        <v>76</v>
      </c>
      <c r="F1268" s="674"/>
      <c r="G1268" s="413"/>
      <c r="H1268" s="413"/>
      <c r="I1268" s="671"/>
      <c r="J1268" s="148"/>
      <c r="K1268" s="498"/>
      <c r="L1268" s="474"/>
      <c r="M1268" s="471"/>
      <c r="N1268" s="419"/>
      <c r="O1268" s="541"/>
      <c r="P1268" s="419"/>
      <c r="Q1268" s="419"/>
      <c r="S1268" s="414" t="str">
        <f t="shared" si="154"/>
        <v>CONCRETOS</v>
      </c>
    </row>
    <row r="1269" spans="1:19" s="344" customFormat="1">
      <c r="A1269" s="144" t="s">
        <v>311</v>
      </c>
      <c r="B1269" s="49">
        <f>'[3]Plan Tron'!B23</f>
        <v>110404</v>
      </c>
      <c r="C1269" s="49" t="str">
        <f>'[3]Plan Tron'!C23</f>
        <v>CPOS</v>
      </c>
      <c r="D1269" s="680" t="str">
        <f>UPPER('[3]Plan Tron'!D23)</f>
        <v>CONCRETO NÃO ESTRUTURAL EXECUTADO NO LOCAL, MÍNIMO 200 KG CIMENTO / M³</v>
      </c>
      <c r="E1269" s="681" t="str">
        <f>'[3]Plan Tron'!E23</f>
        <v>M³</v>
      </c>
      <c r="F1269" s="145">
        <v>1.53</v>
      </c>
      <c r="G1269" s="145">
        <v>238.25</v>
      </c>
      <c r="H1269" s="145">
        <f>'[3]Plan Tron'!F23</f>
        <v>231.91</v>
      </c>
      <c r="I1269" s="148">
        <v>26.44</v>
      </c>
      <c r="J1269" s="148">
        <f t="shared" si="155"/>
        <v>293.23</v>
      </c>
      <c r="K1269" s="383">
        <v>0</v>
      </c>
      <c r="L1269" s="474">
        <f>F1269-K1269</f>
        <v>1.53</v>
      </c>
      <c r="M1269" s="471">
        <f t="shared" si="151"/>
        <v>448.64</v>
      </c>
      <c r="N1269" s="405"/>
      <c r="O1269" s="541"/>
      <c r="P1269" s="405"/>
      <c r="Q1269" s="405"/>
      <c r="S1269" s="344" t="str">
        <f t="shared" si="154"/>
        <v>CONCRETO NÃO ESTRUTURAL EXECUTADO NO LOCAL, MÍNIMO 200 KG CIMENTO / M³</v>
      </c>
    </row>
    <row r="1270" spans="1:19" s="344" customFormat="1">
      <c r="A1270" s="144" t="s">
        <v>1442</v>
      </c>
      <c r="B1270" s="49">
        <f>'[3]Plan Tron'!B22</f>
        <v>110402</v>
      </c>
      <c r="C1270" s="49" t="str">
        <f>'[3]Plan Tron'!C22</f>
        <v>CPOS</v>
      </c>
      <c r="D1270" s="682" t="str">
        <f>UPPER('[3]Plan Tron'!D22)</f>
        <v>CONCRETO NÃO ESTRUTURAL EXECUTADO NO LOCAL, MÍNIMO 150 KG CIMENTO / M³</v>
      </c>
      <c r="E1270" s="681" t="str">
        <f>'[3]Plan Tron'!E22</f>
        <v>M³</v>
      </c>
      <c r="F1270" s="145">
        <v>2.86</v>
      </c>
      <c r="G1270" s="145">
        <v>208.25</v>
      </c>
      <c r="H1270" s="145">
        <f>'[3]Plan Tron'!F22</f>
        <v>208.91</v>
      </c>
      <c r="I1270" s="148">
        <v>26.44</v>
      </c>
      <c r="J1270" s="148">
        <f t="shared" si="155"/>
        <v>264.14999999999998</v>
      </c>
      <c r="K1270" s="383">
        <v>0</v>
      </c>
      <c r="L1270" s="474">
        <f>F1270-K1270</f>
        <v>2.86</v>
      </c>
      <c r="M1270" s="471">
        <f t="shared" si="151"/>
        <v>755.47</v>
      </c>
      <c r="N1270" s="405"/>
      <c r="O1270" s="541"/>
      <c r="P1270" s="405"/>
      <c r="Q1270" s="405"/>
      <c r="S1270" s="344" t="str">
        <f t="shared" si="154"/>
        <v>CONCRETO NÃO ESTRUTURAL EXECUTADO NO LOCAL, MÍNIMO 150 KG CIMENTO / M³</v>
      </c>
    </row>
    <row r="1271" spans="1:19" s="414" customFormat="1">
      <c r="A1271" s="410" t="s">
        <v>1441</v>
      </c>
      <c r="B1271" s="673"/>
      <c r="C1271" s="410"/>
      <c r="D1271" s="637" t="s">
        <v>2062</v>
      </c>
      <c r="E1271" s="638" t="s">
        <v>76</v>
      </c>
      <c r="F1271" s="679"/>
      <c r="G1271" s="413"/>
      <c r="H1271" s="413"/>
      <c r="I1271" s="671"/>
      <c r="J1271" s="148"/>
      <c r="K1271" s="498"/>
      <c r="L1271" s="474"/>
      <c r="M1271" s="471"/>
      <c r="N1271" s="419"/>
      <c r="O1271" s="541"/>
      <c r="P1271" s="419"/>
      <c r="Q1271" s="419"/>
      <c r="S1271" s="414" t="str">
        <f t="shared" si="154"/>
        <v>CONCRETO BOMBEADO</v>
      </c>
    </row>
    <row r="1272" spans="1:19" s="344" customFormat="1">
      <c r="A1272" s="49" t="s">
        <v>969</v>
      </c>
      <c r="B1272" s="49">
        <f>'[3]Plan Tron'!B27</f>
        <v>110132</v>
      </c>
      <c r="C1272" s="49" t="str">
        <f>'[3]Plan Tron'!C27</f>
        <v>CPOS</v>
      </c>
      <c r="D1272" s="118" t="str">
        <f>'[3]Plan Tron'!D27</f>
        <v xml:space="preserve">CONCRETO USINADO, FCK=30MPa - PARA BOMBEAMENTO </v>
      </c>
      <c r="E1272" s="678" t="str">
        <f>'[3]Plan Tron'!E27</f>
        <v>M³</v>
      </c>
      <c r="F1272" s="21">
        <v>14.08</v>
      </c>
      <c r="G1272" s="10">
        <v>336.65</v>
      </c>
      <c r="H1272" s="10">
        <f>'[3]Plan Tron'!F27</f>
        <v>311.94</v>
      </c>
      <c r="I1272" s="148">
        <v>26.44</v>
      </c>
      <c r="J1272" s="148">
        <f t="shared" si="155"/>
        <v>394.42</v>
      </c>
      <c r="K1272" s="383">
        <v>0</v>
      </c>
      <c r="L1272" s="474">
        <f>F1272-K1272</f>
        <v>14.08</v>
      </c>
      <c r="M1272" s="471">
        <f t="shared" si="151"/>
        <v>5553.43</v>
      </c>
      <c r="N1272" s="405"/>
      <c r="O1272" s="541"/>
      <c r="P1272" s="405"/>
      <c r="Q1272" s="405"/>
      <c r="S1272" s="344" t="str">
        <f t="shared" si="154"/>
        <v xml:space="preserve">CONCRETO USINADO, FCK=30MPA - PARA BOMBEAMENTO </v>
      </c>
    </row>
    <row r="1273" spans="1:19" s="414" customFormat="1">
      <c r="A1273" s="410" t="s">
        <v>966</v>
      </c>
      <c r="B1273" s="673"/>
      <c r="C1273" s="410"/>
      <c r="D1273" s="637" t="s">
        <v>2236</v>
      </c>
      <c r="E1273" s="683" t="s">
        <v>76</v>
      </c>
      <c r="F1273" s="422"/>
      <c r="G1273" s="413"/>
      <c r="H1273" s="413"/>
      <c r="I1273" s="671"/>
      <c r="J1273" s="148"/>
      <c r="K1273" s="498"/>
      <c r="L1273" s="474"/>
      <c r="M1273" s="471"/>
      <c r="N1273" s="419"/>
      <c r="O1273" s="541"/>
      <c r="P1273" s="419"/>
      <c r="Q1273" s="419"/>
      <c r="S1273" s="414" t="str">
        <f t="shared" si="154"/>
        <v>APLICAÇÃO DE CONCRETO PROJETADO</v>
      </c>
    </row>
    <row r="1274" spans="1:19" s="344" customFormat="1">
      <c r="A1274" s="49" t="s">
        <v>965</v>
      </c>
      <c r="B1274" s="49">
        <f>'[3]Plan Tron'!B162</f>
        <v>110512</v>
      </c>
      <c r="C1274" s="49" t="str">
        <f>'[3]Plan Tron'!C162</f>
        <v>CPOS</v>
      </c>
      <c r="D1274" s="118" t="str">
        <f>UPPER('[3]Plan Tron'!D162)</f>
        <v xml:space="preserve">EXECUÇÃO DE CONCRETO PROJETADO - CONSUMO DE CIMENTO 350 KG/M³ </v>
      </c>
      <c r="E1274" s="678" t="str">
        <f>'[3]Plan Tron'!E162</f>
        <v>M³</v>
      </c>
      <c r="F1274" s="21">
        <v>12.91</v>
      </c>
      <c r="G1274" s="10">
        <v>1824.27</v>
      </c>
      <c r="H1274" s="10">
        <f>'[3]Plan Tron'!F162</f>
        <v>1916.85</v>
      </c>
      <c r="I1274" s="148">
        <v>26.44</v>
      </c>
      <c r="J1274" s="148">
        <f t="shared" si="155"/>
        <v>2423.67</v>
      </c>
      <c r="K1274" s="383">
        <v>0</v>
      </c>
      <c r="L1274" s="474">
        <f>F1274-K1274</f>
        <v>12.91</v>
      </c>
      <c r="M1274" s="471">
        <f t="shared" si="151"/>
        <v>31289.58</v>
      </c>
      <c r="N1274" s="405"/>
      <c r="O1274" s="541"/>
      <c r="P1274" s="405"/>
      <c r="Q1274" s="405"/>
      <c r="S1274" s="344" t="str">
        <f t="shared" si="154"/>
        <v xml:space="preserve">EXECUÇÃO DE CONCRETO PROJETADO - CONSUMO DE CIMENTO 350 KG/M³ </v>
      </c>
    </row>
    <row r="1275" spans="1:19" s="344" customFormat="1">
      <c r="A1275" s="49"/>
      <c r="B1275" s="17"/>
      <c r="C1275" s="49"/>
      <c r="D1275" s="17"/>
      <c r="E1275" s="7"/>
      <c r="F1275" s="10"/>
      <c r="G1275" s="21"/>
      <c r="H1275" s="21"/>
      <c r="I1275" s="148"/>
      <c r="J1275" s="148"/>
      <c r="K1275" s="17"/>
      <c r="L1275" s="474"/>
      <c r="M1275" s="471"/>
      <c r="N1275" s="405"/>
      <c r="O1275" s="541"/>
      <c r="P1275" s="405"/>
      <c r="Q1275" s="405"/>
    </row>
    <row r="1276" spans="1:19" s="344" customFormat="1">
      <c r="A1276" s="49"/>
      <c r="B1276" s="17"/>
      <c r="C1276" s="49"/>
      <c r="D1276" s="53" t="s">
        <v>76</v>
      </c>
      <c r="E1276" s="7" t="s">
        <v>76</v>
      </c>
      <c r="F1276" s="10"/>
      <c r="G1276" s="21"/>
      <c r="H1276" s="21"/>
      <c r="I1276" s="148"/>
      <c r="J1276" s="148"/>
      <c r="K1276" s="383"/>
      <c r="L1276" s="474"/>
      <c r="M1276" s="471"/>
      <c r="N1276" s="405"/>
      <c r="O1276" s="541"/>
      <c r="P1276" s="405"/>
      <c r="Q1276" s="405"/>
      <c r="S1276" s="344" t="str">
        <f t="shared" ref="S1276:S1281" si="156">UPPER(D1276)</f>
        <v/>
      </c>
    </row>
    <row r="1277" spans="1:19" s="344" customFormat="1">
      <c r="A1277" s="45">
        <v>3</v>
      </c>
      <c r="B1277" s="17"/>
      <c r="C1277" s="45"/>
      <c r="D1277" s="53" t="s">
        <v>2125</v>
      </c>
      <c r="E1277" s="7" t="s">
        <v>76</v>
      </c>
      <c r="F1277" s="10"/>
      <c r="G1277" s="21"/>
      <c r="H1277" s="21"/>
      <c r="I1277" s="148"/>
      <c r="J1277" s="148"/>
      <c r="K1277" s="383"/>
      <c r="L1277" s="474"/>
      <c r="M1277" s="471"/>
      <c r="N1277" s="405"/>
      <c r="O1277" s="541"/>
      <c r="P1277" s="405"/>
      <c r="Q1277" s="405"/>
      <c r="S1277" s="344" t="str">
        <f t="shared" si="156"/>
        <v>COBERTURA</v>
      </c>
    </row>
    <row r="1278" spans="1:19" s="414" customFormat="1">
      <c r="A1278" s="410" t="s">
        <v>144</v>
      </c>
      <c r="B1278" s="411"/>
      <c r="C1278" s="410"/>
      <c r="D1278" s="429" t="s">
        <v>2251</v>
      </c>
      <c r="E1278" s="617" t="s">
        <v>76</v>
      </c>
      <c r="F1278" s="413"/>
      <c r="G1278" s="422"/>
      <c r="H1278" s="422"/>
      <c r="I1278" s="671"/>
      <c r="J1278" s="671"/>
      <c r="K1278" s="498"/>
      <c r="L1278" s="474"/>
      <c r="M1278" s="471"/>
      <c r="N1278" s="419"/>
      <c r="O1278" s="541"/>
      <c r="P1278" s="419"/>
      <c r="Q1278" s="419"/>
      <c r="S1278" s="414" t="str">
        <f t="shared" si="156"/>
        <v>MADEIRAMENTO</v>
      </c>
    </row>
    <row r="1279" spans="1:19" s="344" customFormat="1">
      <c r="A1279" s="49" t="s">
        <v>143</v>
      </c>
      <c r="B1279" s="49">
        <f>'[3]Plan Tron'!B192</f>
        <v>150102</v>
      </c>
      <c r="C1279" s="49" t="str">
        <f>'[3]Plan Tron'!C192</f>
        <v>CPOS</v>
      </c>
      <c r="D1279" s="612" t="str">
        <f>UPPER('[3]Plan Tron'!D192)</f>
        <v>ESTRUTURA DE MADEIRA TESOURADA PARA TELHA DE BARRO - VÃOS DE 7,01 A 10,00 M</v>
      </c>
      <c r="E1279" s="49" t="str">
        <f>'[3]Plan Tron'!E192</f>
        <v>M²</v>
      </c>
      <c r="F1279" s="21">
        <v>40.32</v>
      </c>
      <c r="G1279" s="21">
        <v>37.409999999999997</v>
      </c>
      <c r="H1279" s="21">
        <f>'[3]Plan Tron'!F192</f>
        <v>84.26</v>
      </c>
      <c r="I1279" s="148">
        <v>26.44</v>
      </c>
      <c r="J1279" s="148">
        <f>ROUND(H1279*(I1279/100+1),2)</f>
        <v>106.54</v>
      </c>
      <c r="K1279" s="383">
        <v>0</v>
      </c>
      <c r="L1279" s="474">
        <f>F1279-K1279</f>
        <v>40.32</v>
      </c>
      <c r="M1279" s="471">
        <f t="shared" si="151"/>
        <v>4295.6899999999996</v>
      </c>
      <c r="N1279" s="405"/>
      <c r="O1279" s="541"/>
      <c r="P1279" s="405"/>
      <c r="Q1279" s="405"/>
      <c r="S1279" s="344" t="str">
        <f t="shared" si="156"/>
        <v>ESTRUTURA DE MADEIRA TESOURADA PARA TELHA DE BARRO - VÃOS DE 7,01 A 10,00 M</v>
      </c>
    </row>
    <row r="1280" spans="1:19" s="414" customFormat="1">
      <c r="A1280" s="410" t="s">
        <v>142</v>
      </c>
      <c r="B1280" s="411"/>
      <c r="C1280" s="410"/>
      <c r="D1280" s="429" t="s">
        <v>2126</v>
      </c>
      <c r="E1280" s="617" t="s">
        <v>76</v>
      </c>
      <c r="F1280" s="422"/>
      <c r="G1280" s="422"/>
      <c r="H1280" s="422"/>
      <c r="I1280" s="671"/>
      <c r="J1280" s="671"/>
      <c r="K1280" s="498"/>
      <c r="L1280" s="474"/>
      <c r="M1280" s="471"/>
      <c r="N1280" s="419"/>
      <c r="O1280" s="541"/>
      <c r="P1280" s="419"/>
      <c r="Q1280" s="419"/>
      <c r="S1280" s="414" t="str">
        <f t="shared" si="156"/>
        <v>TELHAMENTO COM TELHA DE FIBROCIMENTO</v>
      </c>
    </row>
    <row r="1281" spans="1:19" s="344" customFormat="1" ht="25.5">
      <c r="A1281" s="49" t="s">
        <v>141</v>
      </c>
      <c r="B1281" s="49">
        <f>'[3]Plan Tron'!B85</f>
        <v>94218</v>
      </c>
      <c r="C1281" s="49" t="str">
        <f>'[3]Plan Tron'!C85</f>
        <v>SINAPI</v>
      </c>
      <c r="D1281" s="130" t="str">
        <f>'[3]Plan Tron'!D85</f>
        <v xml:space="preserve"> TELHAMENTO COM TELHA ESTRUTURAL DE FIBROCIMENTO E= 6 MM, COM ATÉ 2 ÁGUAS, INCLUSO IÇAMENTO. AF_06/2016</v>
      </c>
      <c r="E1281" s="77" t="str">
        <f>'[3]Plan Tron'!E85</f>
        <v>M²</v>
      </c>
      <c r="F1281" s="21">
        <v>40.32</v>
      </c>
      <c r="G1281" s="21">
        <v>73.97</v>
      </c>
      <c r="H1281" s="21">
        <f>'[3]Plan Tron'!F85</f>
        <v>84.16</v>
      </c>
      <c r="I1281" s="148">
        <v>26.44</v>
      </c>
      <c r="J1281" s="148">
        <f>ROUND(H1281*(I1281/100+1),2)</f>
        <v>106.41</v>
      </c>
      <c r="K1281" s="383">
        <v>0</v>
      </c>
      <c r="L1281" s="474">
        <f>F1281-K1281</f>
        <v>40.32</v>
      </c>
      <c r="M1281" s="471">
        <f t="shared" si="151"/>
        <v>4290.45</v>
      </c>
      <c r="N1281" s="405"/>
      <c r="O1281" s="541"/>
      <c r="P1281" s="405"/>
      <c r="Q1281" s="405"/>
      <c r="S1281" s="344" t="str">
        <f t="shared" si="156"/>
        <v xml:space="preserve"> TELHAMENTO COM TELHA ESTRUTURAL DE FIBROCIMENTO E= 6 MM, COM ATÉ 2 ÁGUAS, INCLUSO IÇAMENTO. AF_06/2016</v>
      </c>
    </row>
    <row r="1282" spans="1:19" s="344" customFormat="1">
      <c r="A1282" s="49"/>
      <c r="B1282" s="37"/>
      <c r="C1282" s="49"/>
      <c r="D1282" s="17"/>
      <c r="E1282" s="7"/>
      <c r="F1282" s="21"/>
      <c r="G1282" s="10"/>
      <c r="H1282" s="10"/>
      <c r="I1282" s="148"/>
      <c r="J1282" s="148"/>
      <c r="K1282" s="17"/>
      <c r="L1282" s="474"/>
      <c r="M1282" s="471"/>
      <c r="N1282" s="405"/>
      <c r="O1282" s="541"/>
      <c r="P1282" s="405"/>
      <c r="Q1282" s="405"/>
    </row>
    <row r="1283" spans="1:19" s="344" customFormat="1">
      <c r="A1283" s="49"/>
      <c r="B1283" s="37"/>
      <c r="C1283" s="49"/>
      <c r="D1283" s="53" t="s">
        <v>76</v>
      </c>
      <c r="E1283" s="7" t="s">
        <v>76</v>
      </c>
      <c r="F1283" s="21"/>
      <c r="G1283" s="10"/>
      <c r="H1283" s="10"/>
      <c r="I1283" s="148"/>
      <c r="J1283" s="148"/>
      <c r="K1283" s="383"/>
      <c r="L1283" s="474"/>
      <c r="M1283" s="471"/>
      <c r="N1283" s="405"/>
      <c r="O1283" s="541"/>
      <c r="P1283" s="405"/>
      <c r="Q1283" s="405"/>
      <c r="S1283" s="344" t="str">
        <f t="shared" ref="S1283:S1290" si="157">UPPER(D1283)</f>
        <v/>
      </c>
    </row>
    <row r="1284" spans="1:19" s="344" customFormat="1">
      <c r="A1284" s="45">
        <v>4</v>
      </c>
      <c r="B1284" s="17"/>
      <c r="C1284" s="45"/>
      <c r="D1284" s="53" t="s">
        <v>2237</v>
      </c>
      <c r="E1284" s="7" t="s">
        <v>76</v>
      </c>
      <c r="F1284" s="10"/>
      <c r="G1284" s="21"/>
      <c r="H1284" s="21"/>
      <c r="I1284" s="148"/>
      <c r="J1284" s="148"/>
      <c r="K1284" s="383"/>
      <c r="L1284" s="474"/>
      <c r="M1284" s="471"/>
      <c r="N1284" s="405"/>
      <c r="O1284" s="541"/>
      <c r="P1284" s="405"/>
      <c r="Q1284" s="405"/>
      <c r="S1284" s="344" t="str">
        <f t="shared" si="157"/>
        <v>IMPERMEABILIZAÇÕES  E  PROTEÇÕES  DIVERSAS</v>
      </c>
    </row>
    <row r="1285" spans="1:19" s="414" customFormat="1">
      <c r="A1285" s="684" t="s">
        <v>139</v>
      </c>
      <c r="B1285" s="411"/>
      <c r="C1285" s="410"/>
      <c r="D1285" s="429" t="s">
        <v>2074</v>
      </c>
      <c r="E1285" s="617" t="s">
        <v>76</v>
      </c>
      <c r="F1285" s="422"/>
      <c r="G1285" s="422"/>
      <c r="H1285" s="422"/>
      <c r="I1285" s="671"/>
      <c r="J1285" s="671"/>
      <c r="K1285" s="498"/>
      <c r="L1285" s="474"/>
      <c r="M1285" s="471"/>
      <c r="N1285" s="419"/>
      <c r="O1285" s="541"/>
      <c r="P1285" s="419"/>
      <c r="Q1285" s="419"/>
      <c r="S1285" s="414" t="str">
        <f t="shared" si="157"/>
        <v>IMPERMEABILIZAÇÃO COM CIMENTO CRISTALIZADO</v>
      </c>
    </row>
    <row r="1286" spans="1:19" s="414" customFormat="1" ht="25.5">
      <c r="A1286" s="684" t="s">
        <v>138</v>
      </c>
      <c r="B1286" s="411"/>
      <c r="C1286" s="410"/>
      <c r="D1286" s="429" t="s">
        <v>2075</v>
      </c>
      <c r="E1286" s="617" t="s">
        <v>76</v>
      </c>
      <c r="F1286" s="422"/>
      <c r="G1286" s="422"/>
      <c r="H1286" s="422"/>
      <c r="I1286" s="671"/>
      <c r="J1286" s="671"/>
      <c r="K1286" s="498"/>
      <c r="L1286" s="474"/>
      <c r="M1286" s="471"/>
      <c r="N1286" s="419"/>
      <c r="O1286" s="541"/>
      <c r="P1286" s="419"/>
      <c r="Q1286" s="419"/>
      <c r="S1286" s="414" t="str">
        <f t="shared" si="157"/>
        <v>CIMENTO ESPECIAL CRISTALIZANTE DENVERLIT C/ EMULSÃO ADESIVA DENVERFIX - DENVER - 1 DEMÃO P/ SUBSOLO / BALDRAMES / GALERIAS / JARDINEIRAS / ETC.</v>
      </c>
    </row>
    <row r="1287" spans="1:19" s="344" customFormat="1" ht="25.5">
      <c r="A1287" s="49" t="s">
        <v>137</v>
      </c>
      <c r="B1287" s="49" t="str">
        <f>'[3]Plan Tron'!B33</f>
        <v>73929/001</v>
      </c>
      <c r="C1287" s="49" t="str">
        <f>'[3]Plan Tron'!C33</f>
        <v>SINAPI</v>
      </c>
      <c r="D1287" s="130" t="str">
        <f>'[3]Plan Tron'!D33</f>
        <v>IMPERMEABILIZACAO DE SUPERFICIE COM CIMENTO ESPECIAL CRISTALIZANTE COM ADESIVO LIQUIDO, UMA DEMAO.</v>
      </c>
      <c r="E1287" s="77" t="str">
        <f>'[3]Plan Tron'!E33</f>
        <v>M²</v>
      </c>
      <c r="F1287" s="21">
        <v>162.58000000000001</v>
      </c>
      <c r="G1287" s="10">
        <v>18.329999999999998</v>
      </c>
      <c r="H1287" s="10">
        <f>'[3]Plan Tron'!F33</f>
        <v>30.96</v>
      </c>
      <c r="I1287" s="148">
        <v>26.44</v>
      </c>
      <c r="J1287" s="148">
        <f>ROUND(H1287*(I1287/100+1),2)</f>
        <v>39.15</v>
      </c>
      <c r="K1287" s="383">
        <v>0</v>
      </c>
      <c r="L1287" s="474">
        <f>F1287-K1287</f>
        <v>162.58000000000001</v>
      </c>
      <c r="M1287" s="471">
        <f t="shared" si="151"/>
        <v>6365.01</v>
      </c>
      <c r="N1287" s="405"/>
      <c r="O1287" s="541"/>
      <c r="P1287" s="405"/>
      <c r="Q1287" s="405"/>
      <c r="S1287" s="344" t="str">
        <f t="shared" si="157"/>
        <v>IMPERMEABILIZACAO DE SUPERFICIE COM CIMENTO ESPECIAL CRISTALIZANTE COM ADESIVO LIQUIDO, UMA DEMAO.</v>
      </c>
    </row>
    <row r="1288" spans="1:19" s="414" customFormat="1">
      <c r="A1288" s="410" t="s">
        <v>411</v>
      </c>
      <c r="B1288" s="425"/>
      <c r="C1288" s="410"/>
      <c r="D1288" s="420" t="s">
        <v>2131</v>
      </c>
      <c r="E1288" s="421" t="s">
        <v>76</v>
      </c>
      <c r="F1288" s="659"/>
      <c r="G1288" s="659"/>
      <c r="H1288" s="659"/>
      <c r="I1288" s="413"/>
      <c r="J1288" s="413"/>
      <c r="K1288" s="498"/>
      <c r="L1288" s="474"/>
      <c r="M1288" s="471"/>
      <c r="N1288" s="419"/>
      <c r="O1288" s="541"/>
      <c r="P1288" s="419"/>
      <c r="Q1288" s="419"/>
      <c r="S1288" s="414" t="str">
        <f t="shared" si="157"/>
        <v>IMPERMEABILIZAÇÃO BETUMINOSA C/ EMULSÃO ASFÁLTICA E ACRÍLICA.</v>
      </c>
    </row>
    <row r="1289" spans="1:19" s="414" customFormat="1" ht="25.5">
      <c r="A1289" s="410" t="s">
        <v>931</v>
      </c>
      <c r="B1289" s="425"/>
      <c r="C1289" s="410"/>
      <c r="D1289" s="420" t="s">
        <v>2132</v>
      </c>
      <c r="E1289" s="421" t="s">
        <v>76</v>
      </c>
      <c r="F1289" s="659"/>
      <c r="G1289" s="659"/>
      <c r="H1289" s="659"/>
      <c r="I1289" s="413"/>
      <c r="J1289" s="413"/>
      <c r="K1289" s="498"/>
      <c r="L1289" s="474"/>
      <c r="M1289" s="471"/>
      <c r="N1289" s="419"/>
      <c r="O1289" s="541"/>
      <c r="P1289" s="419"/>
      <c r="Q1289" s="419"/>
      <c r="S1289" s="414" t="str">
        <f t="shared" si="157"/>
        <v>IMPERMEABILIZAÇÃO DE FUNDAÇÕES / BALDRAMES / MUROS DE ARRIMO / ALICERCES / REVESTIMENTOS EM CONTATO C/ SOLO - UTILIZAÇÃO DE TINTA BETUMINOSA TIPO NEUTROLIN / DUAS DEMÃOS.</v>
      </c>
    </row>
    <row r="1290" spans="1:19" s="344" customFormat="1">
      <c r="A1290" s="49" t="s">
        <v>1440</v>
      </c>
      <c r="B1290" s="49" t="str">
        <f>'[3]Plan Tron'!B71</f>
        <v>74106/001</v>
      </c>
      <c r="C1290" s="49" t="str">
        <f>'[3]Plan Tron'!C71</f>
        <v>SINAPI</v>
      </c>
      <c r="D1290" s="35" t="str">
        <f>'[3]Plan Tron'!D71</f>
        <v>IMPERMEABILIZACAO DE ESTRUTURAS ENTERRADAS,COM TINTA ASFALTICA, DUAS DEMÃOS.</v>
      </c>
      <c r="E1290" s="18" t="str">
        <f>'[3]Plan Tron'!E71</f>
        <v>M²</v>
      </c>
      <c r="F1290" s="20">
        <v>60.74</v>
      </c>
      <c r="G1290" s="20">
        <v>6.65</v>
      </c>
      <c r="H1290" s="20">
        <f>'[3]Plan Tron'!F71</f>
        <v>9.2899999999999991</v>
      </c>
      <c r="I1290" s="10">
        <v>26.44</v>
      </c>
      <c r="J1290" s="10">
        <f>ROUND(H1290*(I1290/100+1),2)</f>
        <v>11.75</v>
      </c>
      <c r="K1290" s="383">
        <v>0</v>
      </c>
      <c r="L1290" s="474">
        <f>F1290-K1290</f>
        <v>60.74</v>
      </c>
      <c r="M1290" s="471">
        <f t="shared" si="151"/>
        <v>713.7</v>
      </c>
      <c r="N1290" s="405"/>
      <c r="O1290" s="541"/>
      <c r="P1290" s="405"/>
      <c r="Q1290" s="405"/>
      <c r="S1290" s="344" t="str">
        <f t="shared" si="157"/>
        <v>IMPERMEABILIZACAO DE ESTRUTURAS ENTERRADAS,COM TINTA ASFALTICA, DUAS DEMÃOS.</v>
      </c>
    </row>
    <row r="1291" spans="1:19" s="344" customFormat="1">
      <c r="A1291" s="49"/>
      <c r="B1291" s="17"/>
      <c r="C1291" s="49"/>
      <c r="D1291" s="17"/>
      <c r="E1291" s="7"/>
      <c r="F1291" s="10"/>
      <c r="G1291" s="10"/>
      <c r="H1291" s="10"/>
      <c r="I1291" s="148"/>
      <c r="J1291" s="148"/>
      <c r="K1291" s="17"/>
      <c r="L1291" s="474"/>
      <c r="M1291" s="471"/>
      <c r="N1291" s="405"/>
      <c r="O1291" s="541"/>
      <c r="P1291" s="405"/>
      <c r="Q1291" s="405"/>
    </row>
    <row r="1292" spans="1:19" s="344" customFormat="1">
      <c r="A1292" s="49"/>
      <c r="B1292" s="17"/>
      <c r="C1292" s="49"/>
      <c r="D1292" s="53" t="s">
        <v>76</v>
      </c>
      <c r="E1292" s="7" t="s">
        <v>76</v>
      </c>
      <c r="F1292" s="10"/>
      <c r="G1292" s="10"/>
      <c r="H1292" s="10"/>
      <c r="I1292" s="148"/>
      <c r="J1292" s="148"/>
      <c r="K1292" s="383"/>
      <c r="L1292" s="474"/>
      <c r="M1292" s="471"/>
      <c r="N1292" s="405"/>
      <c r="O1292" s="541"/>
      <c r="P1292" s="405"/>
      <c r="Q1292" s="405"/>
      <c r="S1292" s="344" t="str">
        <f>UPPER(D1292)</f>
        <v/>
      </c>
    </row>
    <row r="1293" spans="1:19" s="344" customFormat="1">
      <c r="A1293" s="122">
        <v>5</v>
      </c>
      <c r="B1293" s="123"/>
      <c r="C1293" s="122"/>
      <c r="D1293" s="180" t="s">
        <v>2107</v>
      </c>
      <c r="E1293" s="119" t="s">
        <v>76</v>
      </c>
      <c r="F1293" s="120"/>
      <c r="G1293" s="121"/>
      <c r="H1293" s="121"/>
      <c r="I1293" s="148"/>
      <c r="J1293" s="148"/>
      <c r="K1293" s="383"/>
      <c r="L1293" s="474"/>
      <c r="M1293" s="471"/>
      <c r="N1293" s="405"/>
      <c r="O1293" s="541"/>
      <c r="P1293" s="405"/>
      <c r="Q1293" s="405"/>
      <c r="S1293" s="344" t="str">
        <f>UPPER(D1293)</f>
        <v>PINTURAS</v>
      </c>
    </row>
    <row r="1294" spans="1:19" s="344" customFormat="1">
      <c r="A1294" s="122">
        <v>5</v>
      </c>
      <c r="B1294" s="123"/>
      <c r="C1294" s="122"/>
      <c r="D1294" s="180" t="s">
        <v>2107</v>
      </c>
      <c r="E1294" s="119" t="s">
        <v>76</v>
      </c>
      <c r="F1294" s="120"/>
      <c r="G1294" s="121"/>
      <c r="H1294" s="121"/>
      <c r="I1294" s="148"/>
      <c r="J1294" s="148"/>
      <c r="K1294" s="383"/>
      <c r="L1294" s="474"/>
      <c r="M1294" s="471"/>
      <c r="N1294" s="405"/>
      <c r="O1294" s="541"/>
      <c r="P1294" s="405"/>
      <c r="Q1294" s="405"/>
      <c r="S1294" s="344" t="str">
        <f>UPPER(D1294)</f>
        <v>PINTURAS</v>
      </c>
    </row>
    <row r="1295" spans="1:19" s="414" customFormat="1">
      <c r="A1295" s="684" t="s">
        <v>136</v>
      </c>
      <c r="B1295" s="411"/>
      <c r="C1295" s="410"/>
      <c r="D1295" s="429" t="s">
        <v>2113</v>
      </c>
      <c r="E1295" s="617" t="s">
        <v>76</v>
      </c>
      <c r="F1295" s="422"/>
      <c r="G1295" s="422"/>
      <c r="H1295" s="422"/>
      <c r="I1295" s="671"/>
      <c r="J1295" s="671"/>
      <c r="K1295" s="498"/>
      <c r="L1295" s="474"/>
      <c r="M1295" s="471"/>
      <c r="N1295" s="419"/>
      <c r="O1295" s="541"/>
      <c r="P1295" s="419"/>
      <c r="Q1295" s="419"/>
      <c r="S1295" s="414" t="str">
        <f>UPPER(D1295)</f>
        <v>PINTURA EM CONCRETO APARENTE</v>
      </c>
    </row>
    <row r="1296" spans="1:19" s="344" customFormat="1">
      <c r="A1296" s="126" t="s">
        <v>135</v>
      </c>
      <c r="B1296" s="49">
        <f>'[3]Plan Tron'!B75</f>
        <v>84678</v>
      </c>
      <c r="C1296" s="49" t="str">
        <f>'[3]Plan Tron'!C75</f>
        <v>SINAPI</v>
      </c>
      <c r="D1296" s="130" t="str">
        <f>'[3]Plan Tron'!D75</f>
        <v xml:space="preserve">VERNIZ POLIURETANO BRILHANTE EM CONCRETO OU TIJOLO, TRES DEMAOS </v>
      </c>
      <c r="E1296" s="77" t="str">
        <f>'[3]Plan Tron'!E75</f>
        <v>M²</v>
      </c>
      <c r="F1296" s="21">
        <v>23.8</v>
      </c>
      <c r="G1296" s="21">
        <v>11.75</v>
      </c>
      <c r="H1296" s="21">
        <f>'[3]Plan Tron'!F75</f>
        <v>16.84</v>
      </c>
      <c r="I1296" s="148">
        <v>26.44</v>
      </c>
      <c r="J1296" s="148">
        <f>ROUND(H1296*(I1296/100+1),2)</f>
        <v>21.29</v>
      </c>
      <c r="K1296" s="383">
        <v>0</v>
      </c>
      <c r="L1296" s="474">
        <f>F1296-K1296</f>
        <v>23.8</v>
      </c>
      <c r="M1296" s="471">
        <f t="shared" si="151"/>
        <v>506.7</v>
      </c>
      <c r="N1296" s="405"/>
      <c r="O1296" s="541"/>
      <c r="P1296" s="405"/>
      <c r="Q1296" s="405"/>
      <c r="S1296" s="344" t="str">
        <f>UPPER(D1296)</f>
        <v xml:space="preserve">VERNIZ POLIURETANO BRILHANTE EM CONCRETO OU TIJOLO, TRES DEMAOS </v>
      </c>
    </row>
    <row r="1297" spans="1:37" s="344" customFormat="1">
      <c r="A1297" s="49"/>
      <c r="B1297" s="17"/>
      <c r="C1297" s="49"/>
      <c r="D1297" s="123"/>
      <c r="E1297" s="7"/>
      <c r="F1297" s="10"/>
      <c r="G1297" s="10"/>
      <c r="H1297" s="10"/>
      <c r="I1297" s="148"/>
      <c r="J1297" s="148"/>
      <c r="K1297" s="123"/>
      <c r="L1297" s="474"/>
      <c r="M1297" s="471"/>
      <c r="N1297" s="405"/>
      <c r="O1297" s="541"/>
      <c r="P1297" s="405"/>
      <c r="Q1297" s="405"/>
    </row>
    <row r="1298" spans="1:37" s="344" customFormat="1">
      <c r="A1298" s="49"/>
      <c r="B1298" s="17"/>
      <c r="C1298" s="49"/>
      <c r="D1298" s="53" t="s">
        <v>76</v>
      </c>
      <c r="E1298" s="7" t="s">
        <v>76</v>
      </c>
      <c r="F1298" s="10"/>
      <c r="G1298" s="21"/>
      <c r="H1298" s="21"/>
      <c r="I1298" s="148"/>
      <c r="J1298" s="148"/>
      <c r="K1298" s="383"/>
      <c r="L1298" s="474"/>
      <c r="M1298" s="471"/>
      <c r="N1298" s="405"/>
      <c r="O1298" s="541"/>
      <c r="P1298" s="405"/>
      <c r="Q1298" s="405"/>
      <c r="S1298" s="344" t="str">
        <f>UPPER(D1298)</f>
        <v/>
      </c>
    </row>
    <row r="1299" spans="1:37">
      <c r="A1299" s="67">
        <v>6</v>
      </c>
      <c r="B1299" s="71"/>
      <c r="C1299" s="67"/>
      <c r="D1299" s="400" t="s">
        <v>2109</v>
      </c>
      <c r="E1299" s="32" t="s">
        <v>76</v>
      </c>
      <c r="F1299" s="8"/>
      <c r="G1299" s="62"/>
      <c r="H1299" s="62"/>
      <c r="I1299" s="148"/>
      <c r="J1299" s="148"/>
      <c r="K1299" s="383"/>
      <c r="L1299" s="474"/>
      <c r="M1299" s="471"/>
      <c r="N1299" s="405"/>
      <c r="O1299" s="541"/>
      <c r="P1299" s="405"/>
      <c r="Q1299" s="405"/>
      <c r="S1299" s="344" t="str">
        <f>UPPER(D1299)</f>
        <v>MONTAGEM DE MATERIAIS E EQUIPAMENTOS HIDRÁULICOS, HIDROMECÂNICOS E DIVERSOS</v>
      </c>
    </row>
    <row r="1300" spans="1:37" s="344" customFormat="1" ht="25.5">
      <c r="A1300" s="69" t="s">
        <v>120</v>
      </c>
      <c r="B1300" s="11" t="s">
        <v>308</v>
      </c>
      <c r="C1300" s="69"/>
      <c r="D1300" s="84" t="s">
        <v>2170</v>
      </c>
      <c r="E1300" s="24" t="s">
        <v>2339</v>
      </c>
      <c r="F1300" s="10">
        <v>1</v>
      </c>
      <c r="G1300" s="21">
        <v>6726.3999999999987</v>
      </c>
      <c r="H1300" s="9">
        <f t="shared" ref="H1300" si="158">G1300*$P$7</f>
        <v>7771.0099199999986</v>
      </c>
      <c r="I1300" s="148">
        <v>26.44</v>
      </c>
      <c r="J1300" s="148">
        <f>ROUND(H1300*(I1300/100+1),2)</f>
        <v>9825.66</v>
      </c>
      <c r="K1300" s="383">
        <v>0</v>
      </c>
      <c r="L1300" s="474">
        <f>F1300-K1300</f>
        <v>1</v>
      </c>
      <c r="M1300" s="471">
        <f t="shared" ref="M1300" si="159">ROUND(L1300*J1300,2)</f>
        <v>9825.66</v>
      </c>
      <c r="N1300" s="405"/>
      <c r="O1300" s="541"/>
      <c r="P1300" s="405"/>
      <c r="Q1300" s="405"/>
      <c r="S1300" s="344" t="str">
        <f>UPPER(D1300)</f>
        <v>MONTAGEM HIDRÁULICA E HIDROMECÂNICA DE EQUIPAMENTOS, VÁLVULAS, TUBOS, PEÇAS E ACESSÓRIOS DA LISTA DE MATERIAIS DA ESTAÇÃO ELEVATÓRIA DE LODO.</v>
      </c>
    </row>
    <row r="1301" spans="1:37">
      <c r="A1301" s="69"/>
      <c r="B1301" s="112"/>
      <c r="C1301" s="69"/>
      <c r="D1301" s="112"/>
      <c r="E1301" s="32"/>
      <c r="F1301" s="8"/>
      <c r="G1301" s="317"/>
      <c r="H1301" s="8"/>
      <c r="I1301" s="8"/>
      <c r="J1301" s="8"/>
      <c r="K1301" s="112"/>
      <c r="L1301" s="474"/>
      <c r="M1301" s="472"/>
      <c r="N1301" s="405"/>
      <c r="O1301" s="541"/>
      <c r="P1301" s="405"/>
      <c r="Q1301" s="405"/>
    </row>
    <row r="1302" spans="1:37">
      <c r="A1302" s="69"/>
      <c r="B1302" s="112"/>
      <c r="C1302" s="69"/>
      <c r="D1302" s="44"/>
      <c r="E1302" s="32"/>
      <c r="F1302" s="8"/>
      <c r="G1302" s="317"/>
      <c r="H1302" s="8"/>
      <c r="I1302" s="8"/>
      <c r="J1302" s="8"/>
      <c r="K1302" s="112"/>
      <c r="L1302" s="474"/>
      <c r="M1302" s="471"/>
      <c r="N1302" s="405"/>
      <c r="O1302" s="541"/>
      <c r="P1302" s="405"/>
      <c r="Q1302" s="405"/>
    </row>
    <row r="1303" spans="1:37" s="299" customFormat="1">
      <c r="A1303" s="297"/>
      <c r="B1303" s="298"/>
      <c r="C1303" s="298"/>
      <c r="D1303" s="511" t="s">
        <v>2370</v>
      </c>
      <c r="E1303" s="297"/>
      <c r="F1303" s="298"/>
      <c r="G1303" s="301"/>
      <c r="H1303" s="338"/>
      <c r="I1303" s="298"/>
      <c r="J1303" s="298"/>
      <c r="K1303" s="511"/>
      <c r="L1303" s="508"/>
      <c r="M1303" s="505">
        <f>SUM(M1236:M1301)</f>
        <v>126923.30999999998</v>
      </c>
      <c r="N1303" s="405"/>
      <c r="O1303" s="541"/>
      <c r="P1303" s="405"/>
      <c r="Q1303" s="405"/>
      <c r="R1303" s="388"/>
      <c r="S1303" s="344" t="str">
        <f t="shared" ref="S1303:S1327" si="160">UPPER(D1303)</f>
        <v>TOTAL ITEM 24.5</v>
      </c>
      <c r="T1303" s="388"/>
      <c r="U1303" s="388"/>
      <c r="V1303" s="388"/>
      <c r="W1303" s="388"/>
      <c r="X1303" s="388"/>
      <c r="Y1303" s="388"/>
      <c r="Z1303" s="388"/>
      <c r="AA1303" s="388"/>
      <c r="AB1303" s="388"/>
      <c r="AC1303" s="388"/>
      <c r="AD1303" s="388"/>
      <c r="AE1303" s="388"/>
      <c r="AF1303" s="388"/>
      <c r="AG1303" s="388"/>
      <c r="AH1303" s="388"/>
      <c r="AI1303" s="388"/>
      <c r="AJ1303" s="388"/>
      <c r="AK1303" s="388"/>
    </row>
    <row r="1304" spans="1:37" s="299" customFormat="1">
      <c r="A1304" s="297"/>
      <c r="B1304" s="298"/>
      <c r="C1304" s="298"/>
      <c r="D1304" s="442" t="s">
        <v>76</v>
      </c>
      <c r="E1304" s="297" t="s">
        <v>76</v>
      </c>
      <c r="F1304" s="298"/>
      <c r="G1304" s="301"/>
      <c r="H1304" s="338"/>
      <c r="I1304" s="298"/>
      <c r="J1304" s="298"/>
      <c r="K1304" s="341"/>
      <c r="L1304" s="474"/>
      <c r="M1304" s="471"/>
      <c r="N1304" s="405"/>
      <c r="O1304" s="541"/>
      <c r="P1304" s="405"/>
      <c r="Q1304" s="405"/>
      <c r="R1304" s="388"/>
      <c r="S1304" s="344" t="str">
        <f t="shared" si="160"/>
        <v/>
      </c>
      <c r="T1304" s="388"/>
      <c r="U1304" s="388"/>
      <c r="V1304" s="388"/>
      <c r="W1304" s="388"/>
      <c r="X1304" s="388"/>
      <c r="Y1304" s="388"/>
      <c r="Z1304" s="388"/>
      <c r="AA1304" s="388"/>
      <c r="AB1304" s="388"/>
      <c r="AC1304" s="388"/>
      <c r="AD1304" s="388"/>
      <c r="AE1304" s="388"/>
      <c r="AF1304" s="388"/>
      <c r="AG1304" s="388"/>
      <c r="AH1304" s="388"/>
      <c r="AI1304" s="388"/>
      <c r="AJ1304" s="388"/>
      <c r="AK1304" s="388"/>
    </row>
    <row r="1305" spans="1:37" s="450" customFormat="1">
      <c r="A1305" s="445" t="s">
        <v>41</v>
      </c>
      <c r="B1305" s="446"/>
      <c r="C1305" s="447"/>
      <c r="D1305" s="448" t="s">
        <v>2003</v>
      </c>
      <c r="E1305" s="453" t="s">
        <v>76</v>
      </c>
      <c r="F1305" s="446"/>
      <c r="G1305" s="446"/>
      <c r="H1305" s="446"/>
      <c r="I1305" s="446"/>
      <c r="J1305" s="446"/>
      <c r="K1305" s="473"/>
      <c r="L1305" s="478"/>
      <c r="M1305" s="479"/>
      <c r="N1305" s="454"/>
      <c r="O1305" s="541"/>
      <c r="P1305" s="454"/>
      <c r="Q1305" s="454"/>
      <c r="S1305" s="450" t="str">
        <f t="shared" si="160"/>
        <v xml:space="preserve">INSTALAÇÕES ELÉTRICAS - EE DE LODO (ESTAÇÃO ELEVATÓRIA DE LODO) </v>
      </c>
    </row>
    <row r="1306" spans="1:37">
      <c r="A1306" s="45"/>
      <c r="B1306" s="57"/>
      <c r="C1306" s="45"/>
      <c r="D1306" s="53" t="s">
        <v>2260</v>
      </c>
      <c r="E1306" s="47" t="s">
        <v>76</v>
      </c>
      <c r="F1306" s="48"/>
      <c r="G1306" s="312"/>
      <c r="H1306" s="9"/>
      <c r="I1306" s="9"/>
      <c r="J1306" s="9"/>
      <c r="K1306" s="383"/>
      <c r="L1306" s="474"/>
      <c r="M1306" s="471"/>
      <c r="N1306" s="405"/>
      <c r="O1306" s="541"/>
      <c r="P1306" s="405"/>
      <c r="Q1306" s="405"/>
      <c r="S1306" s="344" t="str">
        <f t="shared" si="160"/>
        <v>MONTAGEM DE MATERIAIS E EQUIPAMENTOS ELÉTRICOS, DE AUTOMAÇÃO E DIVERSOS - EE DE DESC. LODO</v>
      </c>
    </row>
    <row r="1307" spans="1:37">
      <c r="A1307" s="45">
        <v>1</v>
      </c>
      <c r="B1307" s="57"/>
      <c r="C1307" s="45"/>
      <c r="D1307" s="53" t="s">
        <v>2261</v>
      </c>
      <c r="E1307" s="47" t="s">
        <v>76</v>
      </c>
      <c r="F1307" s="48"/>
      <c r="G1307" s="312"/>
      <c r="H1307" s="9"/>
      <c r="I1307" s="9"/>
      <c r="J1307" s="9"/>
      <c r="K1307" s="383"/>
      <c r="L1307" s="474"/>
      <c r="M1307" s="471"/>
      <c r="N1307" s="405"/>
      <c r="O1307" s="541"/>
      <c r="P1307" s="405"/>
      <c r="Q1307" s="405"/>
      <c r="S1307" s="344" t="str">
        <f t="shared" si="160"/>
        <v>MONTAGEM ELÉTRICA - EE DE DESC. LODO</v>
      </c>
    </row>
    <row r="1308" spans="1:37" s="344" customFormat="1">
      <c r="A1308" s="49" t="s">
        <v>20</v>
      </c>
      <c r="B1308" s="50" t="s">
        <v>1479</v>
      </c>
      <c r="C1308" s="49"/>
      <c r="D1308" s="130" t="s">
        <v>2262</v>
      </c>
      <c r="E1308" s="7" t="s">
        <v>2337</v>
      </c>
      <c r="F1308" s="27">
        <v>1</v>
      </c>
      <c r="G1308" s="9">
        <v>1089.8400000000001</v>
      </c>
      <c r="H1308" s="9">
        <f t="shared" ref="H1308:H1309" si="161">G1308*$P$7</f>
        <v>1259.0921520000002</v>
      </c>
      <c r="I1308" s="9">
        <v>26.44</v>
      </c>
      <c r="J1308" s="9">
        <f>ROUND(H1308*(I1308/100+1),2)</f>
        <v>1592</v>
      </c>
      <c r="K1308" s="383">
        <v>0</v>
      </c>
      <c r="L1308" s="474">
        <f>F1308-K1308</f>
        <v>1</v>
      </c>
      <c r="M1308" s="471">
        <f t="shared" ref="M1308:M1327" si="162">ROUND(L1308*J1308,2)</f>
        <v>1592</v>
      </c>
      <c r="N1308" s="405"/>
      <c r="O1308" s="541"/>
      <c r="P1308" s="405"/>
      <c r="Q1308" s="405"/>
      <c r="S1308" s="344" t="str">
        <f t="shared" si="160"/>
        <v>INSTALAÇÃO GERAL DE MATERIAIS E EQUIPAMENTOS ELÉTRICOS, CONFORME COMPOSIÇÃO EM ANEXO.</v>
      </c>
    </row>
    <row r="1309" spans="1:37" s="344" customFormat="1">
      <c r="A1309" s="49" t="s">
        <v>19</v>
      </c>
      <c r="B1309" s="50" t="s">
        <v>812</v>
      </c>
      <c r="C1309" s="49"/>
      <c r="D1309" s="130" t="s">
        <v>2209</v>
      </c>
      <c r="E1309" s="7" t="s">
        <v>2337</v>
      </c>
      <c r="F1309" s="27">
        <v>1</v>
      </c>
      <c r="G1309" s="9">
        <v>1816.4</v>
      </c>
      <c r="H1309" s="9">
        <f t="shared" si="161"/>
        <v>2098.4869200000003</v>
      </c>
      <c r="I1309" s="9">
        <v>26.44</v>
      </c>
      <c r="J1309" s="9">
        <f>ROUND(H1309*(I1309/100+1),2)</f>
        <v>2653.33</v>
      </c>
      <c r="K1309" s="383">
        <v>0</v>
      </c>
      <c r="L1309" s="474">
        <f>F1309-K1309</f>
        <v>1</v>
      </c>
      <c r="M1309" s="471">
        <f t="shared" si="162"/>
        <v>2653.33</v>
      </c>
      <c r="N1309" s="405"/>
      <c r="O1309" s="541"/>
      <c r="P1309" s="405"/>
      <c r="Q1309" s="405"/>
      <c r="S1309" s="344" t="str">
        <f t="shared" si="160"/>
        <v>INSTALAÇÃO E COMISSIONAMENTO DE INSTRUMENTOS</v>
      </c>
    </row>
    <row r="1310" spans="1:37" s="414" customFormat="1">
      <c r="A1310" s="410" t="s">
        <v>18</v>
      </c>
      <c r="B1310" s="428"/>
      <c r="C1310" s="410"/>
      <c r="D1310" s="429" t="s">
        <v>2090</v>
      </c>
      <c r="E1310" s="617" t="s">
        <v>76</v>
      </c>
      <c r="F1310" s="619"/>
      <c r="G1310" s="412"/>
      <c r="H1310" s="412"/>
      <c r="I1310" s="412"/>
      <c r="J1310" s="9"/>
      <c r="K1310" s="498"/>
      <c r="L1310" s="474"/>
      <c r="M1310" s="471"/>
      <c r="N1310" s="419"/>
      <c r="O1310" s="541"/>
      <c r="P1310" s="419"/>
      <c r="Q1310" s="419"/>
      <c r="S1310" s="414" t="str">
        <f t="shared" si="160"/>
        <v>FIOS E CABOS</v>
      </c>
    </row>
    <row r="1311" spans="1:37" s="389" customFormat="1" ht="25.5">
      <c r="A1311" s="345" t="s">
        <v>201</v>
      </c>
      <c r="B1311" s="49">
        <f>'[3]Plan Tron'!B37</f>
        <v>91925</v>
      </c>
      <c r="C1311" s="49" t="str">
        <f>'[3]Plan Tron'!C37</f>
        <v>SINAPI</v>
      </c>
      <c r="D1311" s="614" t="str">
        <f>'[3]Plan Tron'!D37</f>
        <v>CABO DE COBRE FLEXÍVEL ISOLADO, 1,5 MM², ANTI-CHAMA 0,6/1,0 KV, PARA CIRCUITOS TERMINAIS - FORNECIMENTO E INSTALAÇÃO. AF_12/2015 -  COR AMARELO.</v>
      </c>
      <c r="E1311" s="332" t="str">
        <f>'[3]Plan Tron'!E37</f>
        <v>M</v>
      </c>
      <c r="F1311" s="346">
        <v>100</v>
      </c>
      <c r="G1311" s="11">
        <v>2.04</v>
      </c>
      <c r="H1311" s="21">
        <f>'[3]Plan Tron'!F37</f>
        <v>2.1800000000000002</v>
      </c>
      <c r="I1311" s="11">
        <v>26.44</v>
      </c>
      <c r="J1311" s="9">
        <f t="shared" ref="J1311:J1327" si="163">ROUND(H1311*(I1311/100+1),2)</f>
        <v>2.76</v>
      </c>
      <c r="K1311" s="383">
        <v>0</v>
      </c>
      <c r="L1311" s="474">
        <f t="shared" ref="L1311:L1317" si="164">F1311-K1311</f>
        <v>100</v>
      </c>
      <c r="M1311" s="471">
        <f t="shared" si="162"/>
        <v>276</v>
      </c>
      <c r="N1311" s="405"/>
      <c r="O1311" s="541"/>
      <c r="P1311" s="405"/>
      <c r="Q1311" s="405"/>
      <c r="S1311" s="344" t="str">
        <f t="shared" si="160"/>
        <v>CABO DE COBRE FLEXÍVEL ISOLADO, 1,5 MM², ANTI-CHAMA 0,6/1,0 KV, PARA CIRCUITOS TERMINAIS - FORNECIMENTO E INSTALAÇÃO. AF_12/2015 -  COR AMARELO.</v>
      </c>
    </row>
    <row r="1312" spans="1:37" s="389" customFormat="1" ht="25.5">
      <c r="A1312" s="345" t="s">
        <v>198</v>
      </c>
      <c r="B1312" s="49">
        <f>'[3]Plan Tron'!B38</f>
        <v>91925</v>
      </c>
      <c r="C1312" s="49" t="str">
        <f>'[3]Plan Tron'!C38</f>
        <v>SINAPI</v>
      </c>
      <c r="D1312" s="614" t="str">
        <f>'[3]Plan Tron'!D38</f>
        <v>CABO DE COBRE FLEXÍVEL ISOLADO, 1,5 MM², ANTI-CHAMA 0,6/1,0 KV, PARA CIRCUITOS TERMINAIS - FORNECIMENTO E INSTALAÇÃO. AF_12/2015 -  COR BRANCO.</v>
      </c>
      <c r="E1312" s="332" t="str">
        <f>'[3]Plan Tron'!E38</f>
        <v>M</v>
      </c>
      <c r="F1312" s="346">
        <v>100</v>
      </c>
      <c r="G1312" s="11">
        <v>2.04</v>
      </c>
      <c r="H1312" s="21">
        <f>'[3]Plan Tron'!F38</f>
        <v>2.1800000000000002</v>
      </c>
      <c r="I1312" s="11">
        <v>26.44</v>
      </c>
      <c r="J1312" s="9">
        <f t="shared" si="163"/>
        <v>2.76</v>
      </c>
      <c r="K1312" s="383">
        <v>0</v>
      </c>
      <c r="L1312" s="474">
        <f t="shared" si="164"/>
        <v>100</v>
      </c>
      <c r="M1312" s="471">
        <f t="shared" si="162"/>
        <v>276</v>
      </c>
      <c r="N1312" s="405"/>
      <c r="O1312" s="541"/>
      <c r="P1312" s="405"/>
      <c r="Q1312" s="405"/>
      <c r="S1312" s="344" t="str">
        <f t="shared" si="160"/>
        <v>CABO DE COBRE FLEXÍVEL ISOLADO, 1,5 MM², ANTI-CHAMA 0,6/1,0 KV, PARA CIRCUITOS TERMINAIS - FORNECIMENTO E INSTALAÇÃO. AF_12/2015 -  COR BRANCO.</v>
      </c>
    </row>
    <row r="1313" spans="1:19" s="389" customFormat="1" ht="25.5">
      <c r="A1313" s="345" t="s">
        <v>390</v>
      </c>
      <c r="B1313" s="49">
        <f>'[3]Plan Tron'!B39</f>
        <v>91925</v>
      </c>
      <c r="C1313" s="49" t="str">
        <f>'[3]Plan Tron'!C39</f>
        <v>SINAPI</v>
      </c>
      <c r="D1313" s="614" t="str">
        <f>'[3]Plan Tron'!D39</f>
        <v>CABO DE COBRE FLEXÍVEL ISOLADO, 1,5 MM², ANTI-CHAMA 0,6/1,0 KV, PARA CIRCUITOS TERMINAIS - FORNECIMENTO E INSTALAÇÃO. AF_12/2015 -  COR AZUL</v>
      </c>
      <c r="E1313" s="332" t="str">
        <f>'[3]Plan Tron'!E39</f>
        <v>M</v>
      </c>
      <c r="F1313" s="346">
        <v>100</v>
      </c>
      <c r="G1313" s="11">
        <v>2.04</v>
      </c>
      <c r="H1313" s="21">
        <f>'[3]Plan Tron'!F39</f>
        <v>2.1800000000000002</v>
      </c>
      <c r="I1313" s="11">
        <v>26.44</v>
      </c>
      <c r="J1313" s="9">
        <f t="shared" si="163"/>
        <v>2.76</v>
      </c>
      <c r="K1313" s="383">
        <v>0</v>
      </c>
      <c r="L1313" s="474">
        <f t="shared" si="164"/>
        <v>100</v>
      </c>
      <c r="M1313" s="471">
        <f t="shared" si="162"/>
        <v>276</v>
      </c>
      <c r="N1313" s="405"/>
      <c r="O1313" s="541"/>
      <c r="P1313" s="405"/>
      <c r="Q1313" s="405"/>
      <c r="S1313" s="344" t="str">
        <f t="shared" si="160"/>
        <v>CABO DE COBRE FLEXÍVEL ISOLADO, 1,5 MM², ANTI-CHAMA 0,6/1,0 KV, PARA CIRCUITOS TERMINAIS - FORNECIMENTO E INSTALAÇÃO. AF_12/2015 -  COR AZUL</v>
      </c>
    </row>
    <row r="1314" spans="1:19" s="389" customFormat="1" ht="25.5">
      <c r="A1314" s="345" t="s">
        <v>387</v>
      </c>
      <c r="B1314" s="49">
        <f>'[3]Plan Tron'!B40</f>
        <v>91925</v>
      </c>
      <c r="C1314" s="49" t="str">
        <f>'[3]Plan Tron'!C40</f>
        <v>SINAPI</v>
      </c>
      <c r="D1314" s="614" t="str">
        <f>'[3]Plan Tron'!D40</f>
        <v>CABO DE COBRE FLEXÍVEL ISOLADO, 1,5 MM², ANTI-CHAMA 0,6/1,0 KV, PARA CIRCUITOS TERMINAIS - FORNECIMENTO E INSTALAÇÃO. AF_12/2015 -  COR VERDE</v>
      </c>
      <c r="E1314" s="332" t="str">
        <f>'[3]Plan Tron'!E40</f>
        <v>M</v>
      </c>
      <c r="F1314" s="346">
        <v>100</v>
      </c>
      <c r="G1314" s="11">
        <v>2.04</v>
      </c>
      <c r="H1314" s="21">
        <f>'[3]Plan Tron'!F40</f>
        <v>2.1800000000000002</v>
      </c>
      <c r="I1314" s="11">
        <v>26.44</v>
      </c>
      <c r="J1314" s="9">
        <f t="shared" si="163"/>
        <v>2.76</v>
      </c>
      <c r="K1314" s="383">
        <v>0</v>
      </c>
      <c r="L1314" s="474">
        <f t="shared" si="164"/>
        <v>100</v>
      </c>
      <c r="M1314" s="471">
        <f t="shared" si="162"/>
        <v>276</v>
      </c>
      <c r="N1314" s="405"/>
      <c r="O1314" s="541"/>
      <c r="P1314" s="405"/>
      <c r="Q1314" s="405"/>
      <c r="S1314" s="344" t="str">
        <f t="shared" si="160"/>
        <v>CABO DE COBRE FLEXÍVEL ISOLADO, 1,5 MM², ANTI-CHAMA 0,6/1,0 KV, PARA CIRCUITOS TERMINAIS - FORNECIMENTO E INSTALAÇÃO. AF_12/2015 -  COR VERDE</v>
      </c>
    </row>
    <row r="1315" spans="1:19" s="389" customFormat="1" ht="25.5">
      <c r="A1315" s="345" t="s">
        <v>384</v>
      </c>
      <c r="B1315" s="49">
        <f>'[3]Plan Tron'!B41</f>
        <v>91927</v>
      </c>
      <c r="C1315" s="49" t="str">
        <f>'[3]Plan Tron'!C41</f>
        <v>SINAPI</v>
      </c>
      <c r="D1315" s="614" t="str">
        <f>'[3]Plan Tron'!D41</f>
        <v>CABO DE COBRE FLEXÍVEL ISOLADO, 2,5 MM², ANTI-CHAMA 0,6/1,0 KV, PARA CIRCUITOS TERMINAIS - FORNECIMENTO E INSTALAÇÃO. AF_12/2015 - COR AZUL.</v>
      </c>
      <c r="E1315" s="332" t="str">
        <f>'[3]Plan Tron'!E41</f>
        <v>M</v>
      </c>
      <c r="F1315" s="346">
        <v>100</v>
      </c>
      <c r="G1315" s="11">
        <v>2.59</v>
      </c>
      <c r="H1315" s="21">
        <f>'[3]Plan Tron'!F41</f>
        <v>2.9</v>
      </c>
      <c r="I1315" s="11">
        <v>26.44</v>
      </c>
      <c r="J1315" s="9">
        <f t="shared" si="163"/>
        <v>3.67</v>
      </c>
      <c r="K1315" s="383">
        <v>0</v>
      </c>
      <c r="L1315" s="474">
        <f t="shared" si="164"/>
        <v>100</v>
      </c>
      <c r="M1315" s="471">
        <f t="shared" si="162"/>
        <v>367</v>
      </c>
      <c r="N1315" s="405"/>
      <c r="O1315" s="541"/>
      <c r="P1315" s="405"/>
      <c r="Q1315" s="405"/>
      <c r="S1315" s="344" t="str">
        <f t="shared" si="160"/>
        <v>CABO DE COBRE FLEXÍVEL ISOLADO, 2,5 MM², ANTI-CHAMA 0,6/1,0 KV, PARA CIRCUITOS TERMINAIS - FORNECIMENTO E INSTALAÇÃO. AF_12/2015 - COR AZUL.</v>
      </c>
    </row>
    <row r="1316" spans="1:19" s="389" customFormat="1" ht="25.5">
      <c r="A1316" s="345" t="s">
        <v>381</v>
      </c>
      <c r="B1316" s="49">
        <f>'[3]Plan Tron'!B42</f>
        <v>91927</v>
      </c>
      <c r="C1316" s="49" t="str">
        <f>'[3]Plan Tron'!C42</f>
        <v>SINAPI</v>
      </c>
      <c r="D1316" s="614" t="str">
        <f>'[3]Plan Tron'!D42</f>
        <v>CABO DE COBRE FLEXÍVEL ISOLADO, 2,5 MM², ANTI-CHAMA 0,6/1,0 KV, PARA CIRCUITOS TERMINAIS - FORNECIMENTO E INSTALAÇÃO. AF_12/2015 - COR PRETO.</v>
      </c>
      <c r="E1316" s="332" t="str">
        <f>'[3]Plan Tron'!E42</f>
        <v>M</v>
      </c>
      <c r="F1316" s="346">
        <v>100</v>
      </c>
      <c r="G1316" s="11">
        <v>2.59</v>
      </c>
      <c r="H1316" s="21">
        <f>'[3]Plan Tron'!F42</f>
        <v>2.9</v>
      </c>
      <c r="I1316" s="11">
        <v>26.44</v>
      </c>
      <c r="J1316" s="9">
        <f t="shared" si="163"/>
        <v>3.67</v>
      </c>
      <c r="K1316" s="383">
        <v>0</v>
      </c>
      <c r="L1316" s="474">
        <f t="shared" si="164"/>
        <v>100</v>
      </c>
      <c r="M1316" s="471">
        <f t="shared" si="162"/>
        <v>367</v>
      </c>
      <c r="N1316" s="405"/>
      <c r="O1316" s="541"/>
      <c r="P1316" s="405"/>
      <c r="Q1316" s="405"/>
      <c r="S1316" s="344" t="str">
        <f t="shared" si="160"/>
        <v>CABO DE COBRE FLEXÍVEL ISOLADO, 2,5 MM², ANTI-CHAMA 0,6/1,0 KV, PARA CIRCUITOS TERMINAIS - FORNECIMENTO E INSTALAÇÃO. AF_12/2015 - COR PRETO.</v>
      </c>
    </row>
    <row r="1317" spans="1:19" s="389" customFormat="1" ht="25.5">
      <c r="A1317" s="345" t="s">
        <v>378</v>
      </c>
      <c r="B1317" s="49">
        <f>'[3]Plan Tron'!B43</f>
        <v>91927</v>
      </c>
      <c r="C1317" s="49" t="str">
        <f>'[3]Plan Tron'!C43</f>
        <v>SINAPI</v>
      </c>
      <c r="D1317" s="614" t="str">
        <f>'[3]Plan Tron'!D43</f>
        <v>CABO DE COBRE FLEXÍVEL ISOLADO, 2,5 MM², ANTI-CHAMA 0,6/1,0 KV, PARA CIRCUITOS TERMINAIS - FORNECIMENTO E INSTALAÇÃO. AF_12/2015 - COR VERDE</v>
      </c>
      <c r="E1317" s="332" t="str">
        <f>'[3]Plan Tron'!E43</f>
        <v>M</v>
      </c>
      <c r="F1317" s="346">
        <v>100</v>
      </c>
      <c r="G1317" s="11">
        <v>2.59</v>
      </c>
      <c r="H1317" s="21">
        <f>'[3]Plan Tron'!F43</f>
        <v>2.9</v>
      </c>
      <c r="I1317" s="11">
        <v>26.44</v>
      </c>
      <c r="J1317" s="9">
        <f t="shared" si="163"/>
        <v>3.67</v>
      </c>
      <c r="K1317" s="383">
        <v>0</v>
      </c>
      <c r="L1317" s="474">
        <f t="shared" si="164"/>
        <v>100</v>
      </c>
      <c r="M1317" s="471">
        <f t="shared" si="162"/>
        <v>367</v>
      </c>
      <c r="N1317" s="405"/>
      <c r="O1317" s="541"/>
      <c r="P1317" s="405"/>
      <c r="Q1317" s="405"/>
      <c r="S1317" s="344" t="str">
        <f t="shared" si="160"/>
        <v>CABO DE COBRE FLEXÍVEL ISOLADO, 2,5 MM², ANTI-CHAMA 0,6/1,0 KV, PARA CIRCUITOS TERMINAIS - FORNECIMENTO E INSTALAÇÃO. AF_12/2015 - COR VERDE</v>
      </c>
    </row>
    <row r="1318" spans="1:19" s="414" customFormat="1">
      <c r="A1318" s="410" t="s">
        <v>17</v>
      </c>
      <c r="B1318" s="428"/>
      <c r="C1318" s="410"/>
      <c r="D1318" s="429" t="s">
        <v>2091</v>
      </c>
      <c r="E1318" s="617"/>
      <c r="F1318" s="422"/>
      <c r="G1318" s="413"/>
      <c r="H1318" s="413"/>
      <c r="I1318" s="413"/>
      <c r="J1318" s="9"/>
      <c r="K1318" s="498"/>
      <c r="L1318" s="474"/>
      <c r="M1318" s="471"/>
      <c r="N1318" s="419"/>
      <c r="O1318" s="541"/>
      <c r="P1318" s="419"/>
      <c r="Q1318" s="419"/>
      <c r="S1318" s="414" t="str">
        <f t="shared" si="160"/>
        <v>ELETRODUTOS E AFINS</v>
      </c>
    </row>
    <row r="1319" spans="1:19" s="389" customFormat="1">
      <c r="A1319" s="345" t="s">
        <v>195</v>
      </c>
      <c r="B1319" s="49">
        <f>'[3]Plan Tron'!B149</f>
        <v>93009</v>
      </c>
      <c r="C1319" s="49" t="str">
        <f>'[3]Plan Tron'!C149</f>
        <v>SINAPI</v>
      </c>
      <c r="D1319" s="612" t="str">
        <f>'[3]Plan Tron'!D149</f>
        <v>ELETRODUTO RÍGIDO ROSCÁVEL, PVC, DN 60 MM (2") - FORNECIMENTO E INSTALAÇÃO. AF_12/2015</v>
      </c>
      <c r="E1319" s="49" t="str">
        <f>'[3]Plan Tron'!E149</f>
        <v>M</v>
      </c>
      <c r="F1319" s="346">
        <v>6</v>
      </c>
      <c r="G1319" s="11">
        <v>31</v>
      </c>
      <c r="H1319" s="21">
        <f>'[3]Plan Tron'!F149</f>
        <v>13.45</v>
      </c>
      <c r="I1319" s="11">
        <v>26.44</v>
      </c>
      <c r="J1319" s="9">
        <f t="shared" si="163"/>
        <v>17.010000000000002</v>
      </c>
      <c r="K1319" s="383">
        <v>0</v>
      </c>
      <c r="L1319" s="474">
        <f>F1319-K1319</f>
        <v>6</v>
      </c>
      <c r="M1319" s="471">
        <f t="shared" si="162"/>
        <v>102.06</v>
      </c>
      <c r="N1319" s="405"/>
      <c r="O1319" s="541"/>
      <c r="P1319" s="405"/>
      <c r="Q1319" s="405"/>
      <c r="S1319" s="344" t="str">
        <f t="shared" si="160"/>
        <v>ELETRODUTO RÍGIDO ROSCÁVEL, PVC, DN 60 MM (2") - FORNECIMENTO E INSTALAÇÃO. AF_12/2015</v>
      </c>
    </row>
    <row r="1320" spans="1:19" s="389" customFormat="1">
      <c r="A1320" s="345" t="s">
        <v>192</v>
      </c>
      <c r="B1320" s="49" t="str">
        <f>'[3]Plan Tron'!B53</f>
        <v xml:space="preserve">380404 </v>
      </c>
      <c r="C1320" s="49" t="str">
        <f>'[3]Plan Tron'!C53</f>
        <v>CPOS</v>
      </c>
      <c r="D1320" s="612" t="str">
        <f>'[3]Plan Tron'!D53</f>
        <v xml:space="preserve">ELETRODUTO DE FERRO GALVANIZADO, MÉDIO DE 3/4' - COM ACESSÓRIOS </v>
      </c>
      <c r="E1320" s="49" t="str">
        <f>'[3]Plan Tron'!E53</f>
        <v>M</v>
      </c>
      <c r="F1320" s="346">
        <v>30</v>
      </c>
      <c r="G1320" s="11">
        <v>19.86</v>
      </c>
      <c r="H1320" s="21">
        <f>'[3]Plan Tron'!F53</f>
        <v>20.7</v>
      </c>
      <c r="I1320" s="11">
        <v>26.44</v>
      </c>
      <c r="J1320" s="9">
        <f t="shared" si="163"/>
        <v>26.17</v>
      </c>
      <c r="K1320" s="383">
        <v>0</v>
      </c>
      <c r="L1320" s="474">
        <f>F1320-K1320</f>
        <v>30</v>
      </c>
      <c r="M1320" s="471">
        <f t="shared" si="162"/>
        <v>785.1</v>
      </c>
      <c r="N1320" s="405"/>
      <c r="O1320" s="541"/>
      <c r="P1320" s="405"/>
      <c r="Q1320" s="405"/>
      <c r="S1320" s="344" t="str">
        <f t="shared" si="160"/>
        <v xml:space="preserve">ELETRODUTO DE FERRO GALVANIZADO, MÉDIO DE 3/4' - COM ACESSÓRIOS </v>
      </c>
    </row>
    <row r="1321" spans="1:19" s="389" customFormat="1">
      <c r="A1321" s="345" t="s">
        <v>280</v>
      </c>
      <c r="B1321" s="49" t="str">
        <f>'[3]Plan Tron'!B56</f>
        <v xml:space="preserve">380412 </v>
      </c>
      <c r="C1321" s="49" t="str">
        <f>'[3]Plan Tron'!C56</f>
        <v>CPOS</v>
      </c>
      <c r="D1321" s="612" t="str">
        <f>'[3]Plan Tron'!D56</f>
        <v xml:space="preserve">ELETRODUTO DE FERRO GALVANIZADO, MÉDIO DE 2' - COM ACESSÓRIOS </v>
      </c>
      <c r="E1321" s="49" t="str">
        <f>'[3]Plan Tron'!E56</f>
        <v>M</v>
      </c>
      <c r="F1321" s="346">
        <v>30</v>
      </c>
      <c r="G1321" s="11">
        <v>43.79</v>
      </c>
      <c r="H1321" s="21">
        <f>'[3]Plan Tron'!F56</f>
        <v>39.76</v>
      </c>
      <c r="I1321" s="11">
        <v>26.44</v>
      </c>
      <c r="J1321" s="9">
        <f t="shared" si="163"/>
        <v>50.27</v>
      </c>
      <c r="K1321" s="383">
        <v>0</v>
      </c>
      <c r="L1321" s="474">
        <f>F1321-K1321</f>
        <v>30</v>
      </c>
      <c r="M1321" s="471">
        <f t="shared" si="162"/>
        <v>1508.1</v>
      </c>
      <c r="N1321" s="405"/>
      <c r="O1321" s="541"/>
      <c r="P1321" s="405"/>
      <c r="Q1321" s="405"/>
      <c r="S1321" s="344" t="str">
        <f t="shared" si="160"/>
        <v xml:space="preserve">ELETRODUTO DE FERRO GALVANIZADO, MÉDIO DE 2' - COM ACESSÓRIOS </v>
      </c>
    </row>
    <row r="1322" spans="1:19" s="414" customFormat="1">
      <c r="A1322" s="410" t="s">
        <v>16</v>
      </c>
      <c r="B1322" s="428"/>
      <c r="C1322" s="410"/>
      <c r="D1322" s="429" t="s">
        <v>2152</v>
      </c>
      <c r="E1322" s="617"/>
      <c r="F1322" s="422"/>
      <c r="G1322" s="413"/>
      <c r="H1322" s="413"/>
      <c r="I1322" s="413"/>
      <c r="J1322" s="9"/>
      <c r="K1322" s="498"/>
      <c r="L1322" s="474"/>
      <c r="M1322" s="471"/>
      <c r="N1322" s="419"/>
      <c r="O1322" s="541"/>
      <c r="P1322" s="419"/>
      <c r="Q1322" s="419"/>
      <c r="S1322" s="414" t="str">
        <f t="shared" si="160"/>
        <v>ILUMINAÇÃO</v>
      </c>
    </row>
    <row r="1323" spans="1:19" s="344" customFormat="1" ht="25.5">
      <c r="A1323" s="49" t="s">
        <v>270</v>
      </c>
      <c r="B1323" s="50" t="str">
        <f>'[3]Plan Tron'!B97</f>
        <v xml:space="preserve">73953/006 </v>
      </c>
      <c r="C1323" s="57" t="str">
        <f>'[3]Plan Tron'!C97</f>
        <v>SINAPI</v>
      </c>
      <c r="D1323" s="643" t="str">
        <f>'[3]Plan Tron'!D97</f>
        <v>LUMINARIA TIPO CALHA, DE SOBREPOR, COM REATOR DE PARTIDA RAPIDA E LAMPADA FLUORESCENTE 2X40W, COMPLETA, FORNECIMENTO E INSTALACAO</v>
      </c>
      <c r="E1323" s="57" t="str">
        <f>'[3]Plan Tron'!E97</f>
        <v>UN.</v>
      </c>
      <c r="F1323" s="21">
        <v>2</v>
      </c>
      <c r="G1323" s="10">
        <v>73.319999999999993</v>
      </c>
      <c r="H1323" s="10">
        <f>'[3]Plan Tron'!F97</f>
        <v>95.01</v>
      </c>
      <c r="I1323" s="10">
        <v>26.44</v>
      </c>
      <c r="J1323" s="9">
        <f t="shared" si="163"/>
        <v>120.13</v>
      </c>
      <c r="K1323" s="383">
        <v>0</v>
      </c>
      <c r="L1323" s="474">
        <f>F1323-K1323</f>
        <v>2</v>
      </c>
      <c r="M1323" s="471">
        <f t="shared" si="162"/>
        <v>240.26</v>
      </c>
      <c r="N1323" s="405"/>
      <c r="O1323" s="541"/>
      <c r="P1323" s="405"/>
      <c r="Q1323" s="405"/>
      <c r="S1323" s="344" t="str">
        <f t="shared" si="160"/>
        <v>LUMINARIA TIPO CALHA, DE SOBREPOR, COM REATOR DE PARTIDA RAPIDA E LAMPADA FLUORESCENTE 2X40W, COMPLETA, FORNECIMENTO E INSTALACAO</v>
      </c>
    </row>
    <row r="1324" spans="1:19" s="414" customFormat="1">
      <c r="A1324" s="410" t="s">
        <v>15</v>
      </c>
      <c r="B1324" s="428"/>
      <c r="C1324" s="410"/>
      <c r="D1324" s="429" t="s">
        <v>2215</v>
      </c>
      <c r="E1324" s="617"/>
      <c r="F1324" s="422"/>
      <c r="G1324" s="413"/>
      <c r="H1324" s="413"/>
      <c r="I1324" s="413"/>
      <c r="J1324" s="9"/>
      <c r="K1324" s="498"/>
      <c r="L1324" s="474"/>
      <c r="M1324" s="471"/>
      <c r="N1324" s="419"/>
      <c r="O1324" s="541"/>
      <c r="P1324" s="419"/>
      <c r="Q1324" s="419"/>
      <c r="S1324" s="414" t="str">
        <f t="shared" si="160"/>
        <v>ATERRAMENTO E SPDA</v>
      </c>
    </row>
    <row r="1325" spans="1:19" s="389" customFormat="1">
      <c r="A1325" s="345" t="s">
        <v>249</v>
      </c>
      <c r="B1325" s="57">
        <f>'[3]Plan Tron'!B63</f>
        <v>72254</v>
      </c>
      <c r="C1325" s="57" t="str">
        <f>'[3]Plan Tron'!C63</f>
        <v>SINAPI</v>
      </c>
      <c r="D1325" s="644" t="str">
        <f>'[3]Plan Tron'!D63</f>
        <v>CABO DE COBRE NU, SEÇÃO 50 MM², ENCORDOAMENTO CLASSE 2.</v>
      </c>
      <c r="E1325" s="57" t="str">
        <f>'[3]Plan Tron'!E63</f>
        <v>M</v>
      </c>
      <c r="F1325" s="346">
        <v>20</v>
      </c>
      <c r="G1325" s="11">
        <v>22.41</v>
      </c>
      <c r="H1325" s="10">
        <f>'[3]Plan Tron'!F63</f>
        <v>31.11</v>
      </c>
      <c r="I1325" s="11">
        <v>26.44</v>
      </c>
      <c r="J1325" s="9">
        <f t="shared" si="163"/>
        <v>39.340000000000003</v>
      </c>
      <c r="K1325" s="383">
        <v>0</v>
      </c>
      <c r="L1325" s="474">
        <f>F1325-K1325</f>
        <v>20</v>
      </c>
      <c r="M1325" s="471">
        <f t="shared" si="162"/>
        <v>786.8</v>
      </c>
      <c r="N1325" s="405"/>
      <c r="O1325" s="541"/>
      <c r="P1325" s="405"/>
      <c r="Q1325" s="405"/>
      <c r="S1325" s="344" t="str">
        <f t="shared" si="160"/>
        <v>CABO DE COBRE NU, SEÇÃO 50 MM², ENCORDOAMENTO CLASSE 2.</v>
      </c>
    </row>
    <row r="1326" spans="1:19" s="389" customFormat="1">
      <c r="A1326" s="345" t="s">
        <v>265</v>
      </c>
      <c r="B1326" s="57">
        <f>'[3]Plan Tron'!B148</f>
        <v>72315</v>
      </c>
      <c r="C1326" s="57" t="str">
        <f>'[3]Plan Tron'!C148</f>
        <v>SINAPI</v>
      </c>
      <c r="D1326" s="644" t="str">
        <f>'[3]Plan Tron'!D148</f>
        <v xml:space="preserve">TERMINAL AEREO EM ACO GALVANIZADO COM BASE DE FIXACAO H = 30CM </v>
      </c>
      <c r="E1326" s="57" t="str">
        <f>'[3]Plan Tron'!E148</f>
        <v>UN.</v>
      </c>
      <c r="F1326" s="346">
        <v>4</v>
      </c>
      <c r="G1326" s="11">
        <v>17.12</v>
      </c>
      <c r="H1326" s="10">
        <f>'[3]Plan Tron'!F148</f>
        <v>25.6</v>
      </c>
      <c r="I1326" s="11">
        <v>26.44</v>
      </c>
      <c r="J1326" s="9">
        <f t="shared" si="163"/>
        <v>32.369999999999997</v>
      </c>
      <c r="K1326" s="383">
        <v>0</v>
      </c>
      <c r="L1326" s="474">
        <f>F1326-K1326</f>
        <v>4</v>
      </c>
      <c r="M1326" s="471">
        <f t="shared" si="162"/>
        <v>129.47999999999999</v>
      </c>
      <c r="N1326" s="405"/>
      <c r="O1326" s="541"/>
      <c r="P1326" s="405"/>
      <c r="Q1326" s="405"/>
      <c r="S1326" s="344" t="str">
        <f t="shared" si="160"/>
        <v xml:space="preserve">TERMINAL AEREO EM ACO GALVANIZADO COM BASE DE FIXACAO H = 30CM </v>
      </c>
    </row>
    <row r="1327" spans="1:19" s="389" customFormat="1">
      <c r="A1327" s="345" t="s">
        <v>263</v>
      </c>
      <c r="B1327" s="57">
        <f>'[3]Plan Tron'!B60</f>
        <v>83484</v>
      </c>
      <c r="C1327" s="57" t="str">
        <f>'[3]Plan Tron'!C60</f>
        <v>SINAPI</v>
      </c>
      <c r="D1327" s="644" t="str">
        <f>'[3]Plan Tron'!D60</f>
        <v>HASTE DE ATERRAMENTO DE AÇO COBREADO Ø3/4"X3,0M.</v>
      </c>
      <c r="E1327" s="57" t="str">
        <f>'[3]Plan Tron'!E60</f>
        <v>PÇ.</v>
      </c>
      <c r="F1327" s="346">
        <v>4</v>
      </c>
      <c r="G1327" s="11">
        <v>47.99</v>
      </c>
      <c r="H1327" s="10">
        <f>'[3]Plan Tron'!F60</f>
        <v>61.62</v>
      </c>
      <c r="I1327" s="11">
        <v>26.44</v>
      </c>
      <c r="J1327" s="9">
        <f t="shared" si="163"/>
        <v>77.91</v>
      </c>
      <c r="K1327" s="383">
        <v>0</v>
      </c>
      <c r="L1327" s="474">
        <f>F1327-K1327</f>
        <v>4</v>
      </c>
      <c r="M1327" s="471">
        <f t="shared" si="162"/>
        <v>311.64</v>
      </c>
      <c r="N1327" s="405"/>
      <c r="O1327" s="541"/>
      <c r="P1327" s="405"/>
      <c r="Q1327" s="405"/>
      <c r="S1327" s="344" t="str">
        <f t="shared" si="160"/>
        <v>HASTE DE ATERRAMENTO DE AÇO COBREADO Ø3/4"X3,0M.</v>
      </c>
    </row>
    <row r="1328" spans="1:19">
      <c r="A1328" s="49"/>
      <c r="B1328" s="57"/>
      <c r="C1328" s="49"/>
      <c r="D1328" s="65"/>
      <c r="E1328" s="18"/>
      <c r="F1328" s="36"/>
      <c r="G1328" s="316"/>
      <c r="H1328" s="20"/>
      <c r="I1328" s="20"/>
      <c r="J1328" s="20"/>
      <c r="K1328" s="65"/>
      <c r="L1328" s="474"/>
      <c r="M1328" s="472"/>
      <c r="N1328" s="405"/>
      <c r="O1328" s="541"/>
      <c r="P1328" s="405"/>
      <c r="Q1328" s="405"/>
    </row>
    <row r="1329" spans="1:37">
      <c r="A1329" s="49"/>
      <c r="B1329" s="57"/>
      <c r="C1329" s="49"/>
      <c r="D1329" s="65"/>
      <c r="E1329" s="18"/>
      <c r="F1329" s="36"/>
      <c r="G1329" s="316"/>
      <c r="H1329" s="20"/>
      <c r="I1329" s="20"/>
      <c r="J1329" s="20"/>
      <c r="K1329" s="65"/>
      <c r="L1329" s="474"/>
      <c r="M1329" s="471"/>
      <c r="N1329" s="405"/>
      <c r="O1329" s="541"/>
      <c r="P1329" s="405"/>
      <c r="Q1329" s="405"/>
    </row>
    <row r="1330" spans="1:37" s="299" customFormat="1">
      <c r="A1330" s="297"/>
      <c r="B1330" s="298"/>
      <c r="C1330" s="298"/>
      <c r="D1330" s="511" t="s">
        <v>2371</v>
      </c>
      <c r="E1330" s="297"/>
      <c r="F1330" s="298"/>
      <c r="G1330" s="301"/>
      <c r="H1330" s="338"/>
      <c r="I1330" s="298"/>
      <c r="J1330" s="298"/>
      <c r="K1330" s="506"/>
      <c r="L1330" s="508"/>
      <c r="M1330" s="505">
        <f>SUM(M1308:M1328)</f>
        <v>10313.769999999999</v>
      </c>
      <c r="N1330" s="405"/>
      <c r="O1330" s="541"/>
      <c r="P1330" s="405"/>
      <c r="Q1330" s="405"/>
      <c r="R1330" s="388"/>
      <c r="S1330" s="344" t="str">
        <f t="shared" ref="S1330:S1342" si="165">UPPER(D1330)</f>
        <v>TOTAL ITEM 24.6</v>
      </c>
      <c r="T1330" s="388"/>
      <c r="U1330" s="388"/>
      <c r="V1330" s="388"/>
      <c r="W1330" s="388"/>
      <c r="X1330" s="388"/>
      <c r="Y1330" s="388"/>
      <c r="Z1330" s="388"/>
      <c r="AA1330" s="388"/>
      <c r="AB1330" s="388"/>
      <c r="AC1330" s="388"/>
      <c r="AD1330" s="388"/>
      <c r="AE1330" s="388"/>
      <c r="AF1330" s="388"/>
      <c r="AG1330" s="388"/>
      <c r="AH1330" s="388"/>
      <c r="AI1330" s="388"/>
      <c r="AJ1330" s="388"/>
      <c r="AK1330" s="388"/>
    </row>
    <row r="1331" spans="1:37" s="299" customFormat="1">
      <c r="A1331" s="297"/>
      <c r="B1331" s="298"/>
      <c r="C1331" s="298"/>
      <c r="D1331" s="441"/>
      <c r="E1331" s="297"/>
      <c r="F1331" s="298"/>
      <c r="G1331" s="301"/>
      <c r="H1331" s="338"/>
      <c r="I1331" s="298"/>
      <c r="J1331" s="298"/>
      <c r="K1331" s="341"/>
      <c r="L1331" s="474"/>
      <c r="M1331" s="471"/>
      <c r="N1331" s="405"/>
      <c r="O1331" s="541"/>
      <c r="P1331" s="405"/>
      <c r="Q1331" s="405"/>
      <c r="R1331" s="388"/>
      <c r="S1331" s="344" t="str">
        <f t="shared" si="165"/>
        <v/>
      </c>
      <c r="T1331" s="388"/>
      <c r="U1331" s="388"/>
      <c r="V1331" s="388"/>
      <c r="W1331" s="388"/>
      <c r="X1331" s="388"/>
      <c r="Y1331" s="388"/>
      <c r="Z1331" s="388"/>
      <c r="AA1331" s="388"/>
      <c r="AB1331" s="388"/>
      <c r="AC1331" s="388"/>
      <c r="AD1331" s="388"/>
      <c r="AE1331" s="388"/>
      <c r="AF1331" s="388"/>
      <c r="AG1331" s="388"/>
      <c r="AH1331" s="388"/>
      <c r="AI1331" s="388"/>
      <c r="AJ1331" s="388"/>
      <c r="AK1331" s="388"/>
    </row>
    <row r="1332" spans="1:37" s="450" customFormat="1">
      <c r="A1332" s="445" t="s">
        <v>40</v>
      </c>
      <c r="B1332" s="446"/>
      <c r="C1332" s="447"/>
      <c r="D1332" s="448" t="s">
        <v>1975</v>
      </c>
      <c r="E1332" s="453" t="s">
        <v>76</v>
      </c>
      <c r="F1332" s="446"/>
      <c r="G1332" s="446"/>
      <c r="H1332" s="446"/>
      <c r="I1332" s="446"/>
      <c r="J1332" s="446"/>
      <c r="K1332" s="473"/>
      <c r="L1332" s="478"/>
      <c r="M1332" s="479"/>
      <c r="N1332" s="454"/>
      <c r="O1332" s="541"/>
      <c r="P1332" s="454"/>
      <c r="Q1332" s="454"/>
      <c r="S1332" s="450" t="str">
        <f t="shared" si="165"/>
        <v>CASA DE DESIDRATAÇÃO DE LODO</v>
      </c>
    </row>
    <row r="1333" spans="1:37" s="344" customFormat="1">
      <c r="A1333" s="59">
        <v>1</v>
      </c>
      <c r="B1333" s="38"/>
      <c r="C1333" s="59"/>
      <c r="D1333" s="403" t="s">
        <v>2038</v>
      </c>
      <c r="E1333" s="28" t="s">
        <v>76</v>
      </c>
      <c r="F1333" s="36"/>
      <c r="G1333" s="19"/>
      <c r="H1333" s="19"/>
      <c r="I1333" s="19"/>
      <c r="J1333" s="19"/>
      <c r="K1333" s="383"/>
      <c r="L1333" s="474"/>
      <c r="M1333" s="471"/>
      <c r="N1333" s="405"/>
      <c r="O1333" s="541"/>
      <c r="P1333" s="405"/>
      <c r="Q1333" s="405"/>
      <c r="S1333" s="344" t="str">
        <f t="shared" si="165"/>
        <v>MOVIMENTO DE TERRA</v>
      </c>
    </row>
    <row r="1334" spans="1:37" s="414" customFormat="1">
      <c r="A1334" s="650" t="s">
        <v>20</v>
      </c>
      <c r="B1334" s="425"/>
      <c r="C1334" s="650"/>
      <c r="D1334" s="660" t="s">
        <v>2263</v>
      </c>
      <c r="E1334" s="640" t="s">
        <v>76</v>
      </c>
      <c r="F1334" s="623"/>
      <c r="G1334" s="423"/>
      <c r="H1334" s="423"/>
      <c r="I1334" s="423"/>
      <c r="J1334" s="423"/>
      <c r="K1334" s="498"/>
      <c r="L1334" s="474"/>
      <c r="M1334" s="471"/>
      <c r="N1334" s="419"/>
      <c r="O1334" s="541"/>
      <c r="P1334" s="419"/>
      <c r="Q1334" s="419"/>
      <c r="S1334" s="414" t="str">
        <f t="shared" si="165"/>
        <v>ESCAVAÇÃO DE CAVAS</v>
      </c>
    </row>
    <row r="1335" spans="1:37" s="414" customFormat="1">
      <c r="A1335" s="650" t="s">
        <v>153</v>
      </c>
      <c r="B1335" s="425"/>
      <c r="C1335" s="650"/>
      <c r="D1335" s="660" t="s">
        <v>2042</v>
      </c>
      <c r="E1335" s="640" t="s">
        <v>76</v>
      </c>
      <c r="F1335" s="623"/>
      <c r="G1335" s="423"/>
      <c r="H1335" s="423"/>
      <c r="I1335" s="423"/>
      <c r="J1335" s="423"/>
      <c r="K1335" s="498"/>
      <c r="L1335" s="474"/>
      <c r="M1335" s="471"/>
      <c r="N1335" s="419"/>
      <c r="O1335" s="541"/>
      <c r="P1335" s="419"/>
      <c r="Q1335" s="419"/>
      <c r="S1335" s="414" t="str">
        <f t="shared" si="165"/>
        <v>ESCAVAÇÃO MECÂNICA DE CAVAS</v>
      </c>
    </row>
    <row r="1336" spans="1:37" s="344" customFormat="1" ht="37.5" customHeight="1">
      <c r="A1336" s="55" t="s">
        <v>152</v>
      </c>
      <c r="B1336" s="57">
        <f>'[3]Plan Tron'!B150</f>
        <v>90082</v>
      </c>
      <c r="C1336" s="57" t="str">
        <f>'[3]Plan Tron'!C150</f>
        <v>SINAPI</v>
      </c>
      <c r="D1336" s="643" t="str">
        <f>'[3]Plan Tron'!D150</f>
        <v>ESCAVAÇÃO MECANIZADA DE VALA COM PROF. ATÉ 1,5 M (MÉDIA ENTRE MONTANTE E JUSANTE/UMA COMPOSIÇÃO POR TRECHO), COM ESCAVADEIRA HIDRÁULICA (0,8M3/111 HP), LARG. DE 1,5 M A 2,5 M, EM SOLO DE 1A CATEGORIA, EM LOCAIS COM ALTO NÍVEL DE INTERFERÊNCIA. AF_01/2015</v>
      </c>
      <c r="E1336" s="57" t="str">
        <f>'[3]Plan Tron'!E150</f>
        <v>M³</v>
      </c>
      <c r="F1336" s="36">
        <v>23.06</v>
      </c>
      <c r="G1336" s="161">
        <v>10.220000000000001</v>
      </c>
      <c r="H1336" s="10">
        <f>'[3]Plan Tron'!F150</f>
        <v>12.82</v>
      </c>
      <c r="I1336" s="19">
        <v>26.44</v>
      </c>
      <c r="J1336" s="19">
        <f>ROUND(H1336*(I1336/100+1),2)</f>
        <v>16.21</v>
      </c>
      <c r="K1336" s="383">
        <v>0</v>
      </c>
      <c r="L1336" s="474">
        <f>F1336-K1336</f>
        <v>23.06</v>
      </c>
      <c r="M1336" s="471">
        <f t="shared" ref="M1336:M1392" si="166">ROUND(L1336*J1336,2)</f>
        <v>373.8</v>
      </c>
      <c r="N1336" s="405"/>
      <c r="O1336" s="541"/>
      <c r="P1336" s="405"/>
      <c r="Q1336" s="405"/>
      <c r="S1336" s="344" t="str">
        <f t="shared" si="165"/>
        <v>ESCAVAÇÃO MECANIZADA DE VALA COM PROF. ATÉ 1,5 M (MÉDIA ENTRE MONTANTE E JUSANTE/UMA COMPOSIÇÃO POR TRECHO), COM ESCAVADEIRA HIDRÁULICA (0,8M3/111 HP), LARG. DE 1,5 M A 2,5 M, EM SOLO DE 1A CATEGORIA, EM LOCAIS COM ALTO NÍVEL DE INTERFERÊNCIA. AF_01/2015</v>
      </c>
    </row>
    <row r="1337" spans="1:37" s="414" customFormat="1">
      <c r="A1337" s="650" t="s">
        <v>19</v>
      </c>
      <c r="B1337" s="425"/>
      <c r="C1337" s="410"/>
      <c r="D1337" s="660" t="s">
        <v>2111</v>
      </c>
      <c r="E1337" s="640" t="s">
        <v>76</v>
      </c>
      <c r="F1337" s="623"/>
      <c r="G1337" s="423"/>
      <c r="H1337" s="423"/>
      <c r="I1337" s="423"/>
      <c r="J1337" s="423"/>
      <c r="K1337" s="498"/>
      <c r="L1337" s="474"/>
      <c r="M1337" s="471"/>
      <c r="N1337" s="419"/>
      <c r="O1337" s="541"/>
      <c r="P1337" s="419"/>
      <c r="Q1337" s="419"/>
      <c r="S1337" s="414" t="str">
        <f t="shared" si="165"/>
        <v>ATERRO / REATERRO DE VALAS COM OU S/ COMPACTAÇÃO.</v>
      </c>
    </row>
    <row r="1338" spans="1:37" s="414" customFormat="1">
      <c r="A1338" s="650" t="s">
        <v>147</v>
      </c>
      <c r="B1338" s="425"/>
      <c r="C1338" s="410"/>
      <c r="D1338" s="660" t="s">
        <v>2045</v>
      </c>
      <c r="E1338" s="640" t="s">
        <v>76</v>
      </c>
      <c r="F1338" s="623"/>
      <c r="G1338" s="423"/>
      <c r="H1338" s="423"/>
      <c r="I1338" s="423"/>
      <c r="J1338" s="423"/>
      <c r="K1338" s="498"/>
      <c r="L1338" s="474"/>
      <c r="M1338" s="471"/>
      <c r="N1338" s="419"/>
      <c r="O1338" s="541"/>
      <c r="P1338" s="419"/>
      <c r="Q1338" s="419"/>
      <c r="S1338" s="414" t="str">
        <f t="shared" si="165"/>
        <v>REATERRO DE VALAS</v>
      </c>
    </row>
    <row r="1339" spans="1:37" s="344" customFormat="1" ht="25.5">
      <c r="A1339" s="55" t="s">
        <v>146</v>
      </c>
      <c r="B1339" s="57" t="str">
        <f>'[3]Plan Tron'!B64</f>
        <v xml:space="preserve">74005/002 </v>
      </c>
      <c r="C1339" s="57" t="str">
        <f>'[3]Plan Tron'!C64</f>
        <v>SINAPI</v>
      </c>
      <c r="D1339" s="643" t="str">
        <f>'[3]Plan Tron'!D64</f>
        <v>COMPACTACAO MECANICA C/ CONTROLE DO GC&gt;=95% DO PN (AREAS) (C/MONIVELADORA 140 HP E ROLO COMPRESSOR VIBRATORIO 80 HP)</v>
      </c>
      <c r="E1339" s="57" t="str">
        <f>'[3]Plan Tron'!E64</f>
        <v>M³</v>
      </c>
      <c r="F1339" s="36">
        <v>14.32</v>
      </c>
      <c r="G1339" s="19">
        <v>9.2899999999999991</v>
      </c>
      <c r="H1339" s="19">
        <f>'[3]Plan Tron'!F64</f>
        <v>4.83</v>
      </c>
      <c r="I1339" s="19">
        <v>26.44</v>
      </c>
      <c r="J1339" s="19">
        <f>ROUND(H1339*(I1339/100+1),2)</f>
        <v>6.11</v>
      </c>
      <c r="K1339" s="383">
        <v>0</v>
      </c>
      <c r="L1339" s="474">
        <f>F1339-K1339</f>
        <v>14.32</v>
      </c>
      <c r="M1339" s="471">
        <f t="shared" si="166"/>
        <v>87.5</v>
      </c>
      <c r="N1339" s="405"/>
      <c r="O1339" s="541"/>
      <c r="P1339" s="405"/>
      <c r="Q1339" s="405"/>
      <c r="S1339" s="344" t="str">
        <f t="shared" si="165"/>
        <v>COMPACTACAO MECANICA C/ CONTROLE DO GC&gt;=95% DO PN (AREAS) (C/MONIVELADORA 140 HP E ROLO COMPRESSOR VIBRATORIO 80 HP)</v>
      </c>
    </row>
    <row r="1340" spans="1:37" s="414" customFormat="1">
      <c r="A1340" s="650" t="s">
        <v>18</v>
      </c>
      <c r="B1340" s="57"/>
      <c r="C1340" s="410"/>
      <c r="D1340" s="660" t="s">
        <v>2046</v>
      </c>
      <c r="E1340" s="640" t="s">
        <v>76</v>
      </c>
      <c r="F1340" s="623"/>
      <c r="G1340" s="423"/>
      <c r="H1340" s="423"/>
      <c r="I1340" s="423"/>
      <c r="J1340" s="423"/>
      <c r="K1340" s="498"/>
      <c r="L1340" s="474"/>
      <c r="M1340" s="471">
        <f t="shared" si="166"/>
        <v>0</v>
      </c>
      <c r="N1340" s="419"/>
      <c r="O1340" s="541"/>
      <c r="P1340" s="419"/>
      <c r="Q1340" s="419"/>
      <c r="S1340" s="414" t="str">
        <f t="shared" si="165"/>
        <v>CARGA, DESCARGA E/OU TRANSPORTE DE MATERIAIS</v>
      </c>
    </row>
    <row r="1341" spans="1:37" s="344" customFormat="1">
      <c r="A1341" s="55" t="s">
        <v>201</v>
      </c>
      <c r="B1341" s="57">
        <f>'[3]Plan Tron'!B13</f>
        <v>72885</v>
      </c>
      <c r="C1341" s="57" t="str">
        <f>'[3]Plan Tron'!C13</f>
        <v>SINAPI</v>
      </c>
      <c r="D1341" s="643" t="str">
        <f>'[3]Plan Tron'!D13</f>
        <v>TRANSPORTE COMERCIAL COM CAMINHAO BASCULANTE 6 M3, RODOVIA EM LEITO NATURAL</v>
      </c>
      <c r="E1341" s="57" t="str">
        <f>'[3]Plan Tron'!E13</f>
        <v>M³ X KM</v>
      </c>
      <c r="F1341" s="36">
        <v>43.68</v>
      </c>
      <c r="G1341" s="19">
        <v>1.03</v>
      </c>
      <c r="H1341" s="19">
        <f>'[3]Plan Tron'!F13</f>
        <v>1.37</v>
      </c>
      <c r="I1341" s="19">
        <v>26.44</v>
      </c>
      <c r="J1341" s="19">
        <f>ROUND(H1341*(I1341/100+1),2)</f>
        <v>1.73</v>
      </c>
      <c r="K1341" s="383">
        <v>0</v>
      </c>
      <c r="L1341" s="474">
        <f>F1341-K1341</f>
        <v>43.68</v>
      </c>
      <c r="M1341" s="471">
        <f t="shared" si="166"/>
        <v>75.569999999999993</v>
      </c>
      <c r="N1341" s="405"/>
      <c r="O1341" s="541"/>
      <c r="P1341" s="405"/>
      <c r="Q1341" s="405"/>
      <c r="S1341" s="344" t="str">
        <f t="shared" si="165"/>
        <v>TRANSPORTE COMERCIAL COM CAMINHAO BASCULANTE 6 M3, RODOVIA EM LEITO NATURAL</v>
      </c>
    </row>
    <row r="1342" spans="1:37" s="344" customFormat="1" ht="25.5">
      <c r="A1342" s="55" t="s">
        <v>198</v>
      </c>
      <c r="B1342" s="57">
        <f>'[3]Plan Tron'!B14</f>
        <v>72888</v>
      </c>
      <c r="C1342" s="57" t="str">
        <f>'[3]Plan Tron'!C14</f>
        <v>SINAPI</v>
      </c>
      <c r="D1342" s="643" t="str">
        <f>'[3]Plan Tron'!D14</f>
        <v>CARGA, MANOBRAS E DESCARGA DE AREIA, BRITA, PEDRA DE MAO E SOLOS COM CAMINHAO BASCULANTE 6 M3 (DESCARGA LIVRE)</v>
      </c>
      <c r="E1342" s="57" t="str">
        <f>'[3]Plan Tron'!E14</f>
        <v>M³</v>
      </c>
      <c r="F1342" s="51">
        <v>8.74</v>
      </c>
      <c r="G1342" s="19">
        <v>0.81</v>
      </c>
      <c r="H1342" s="19">
        <f>'[3]Plan Tron'!F14</f>
        <v>0.96</v>
      </c>
      <c r="I1342" s="19">
        <v>26.44</v>
      </c>
      <c r="J1342" s="19">
        <f>ROUND(H1342*(I1342/100+1),2)</f>
        <v>1.21</v>
      </c>
      <c r="K1342" s="383">
        <v>0</v>
      </c>
      <c r="L1342" s="474">
        <f>F1342-K1342</f>
        <v>8.74</v>
      </c>
      <c r="M1342" s="471">
        <f t="shared" si="166"/>
        <v>10.58</v>
      </c>
      <c r="N1342" s="405"/>
      <c r="O1342" s="541"/>
      <c r="P1342" s="405"/>
      <c r="Q1342" s="405"/>
      <c r="S1342" s="344" t="str">
        <f t="shared" si="165"/>
        <v>CARGA, MANOBRAS E DESCARGA DE AREIA, BRITA, PEDRA DE MAO E SOLOS COM CAMINHAO BASCULANTE 6 M3 (DESCARGA LIVRE)</v>
      </c>
    </row>
    <row r="1343" spans="1:37" s="344" customFormat="1">
      <c r="A1343" s="55"/>
      <c r="B1343" s="65"/>
      <c r="C1343" s="55"/>
      <c r="D1343" s="65"/>
      <c r="E1343" s="18"/>
      <c r="F1343" s="19"/>
      <c r="G1343" s="36"/>
      <c r="H1343" s="36"/>
      <c r="I1343" s="19"/>
      <c r="J1343" s="19"/>
      <c r="K1343" s="65"/>
      <c r="L1343" s="474"/>
      <c r="M1343" s="471"/>
      <c r="N1343" s="405"/>
      <c r="O1343" s="541"/>
      <c r="P1343" s="405"/>
      <c r="Q1343" s="405"/>
    </row>
    <row r="1344" spans="1:37" s="344" customFormat="1">
      <c r="A1344" s="59"/>
      <c r="B1344" s="38"/>
      <c r="C1344" s="59"/>
      <c r="D1344" s="403" t="s">
        <v>76</v>
      </c>
      <c r="E1344" s="28"/>
      <c r="F1344" s="36"/>
      <c r="G1344" s="36"/>
      <c r="H1344" s="36"/>
      <c r="I1344" s="19"/>
      <c r="J1344" s="19"/>
      <c r="K1344" s="383"/>
      <c r="L1344" s="474"/>
      <c r="M1344" s="471"/>
      <c r="N1344" s="405"/>
      <c r="O1344" s="541"/>
      <c r="P1344" s="405"/>
      <c r="Q1344" s="405"/>
      <c r="S1344" s="344" t="str">
        <f t="shared" ref="S1344:S1360" si="167">UPPER(D1344)</f>
        <v/>
      </c>
    </row>
    <row r="1345" spans="1:19" s="344" customFormat="1">
      <c r="A1345" s="59">
        <v>2</v>
      </c>
      <c r="B1345" s="29"/>
      <c r="C1345" s="59"/>
      <c r="D1345" s="169" t="s">
        <v>2054</v>
      </c>
      <c r="E1345" s="18"/>
      <c r="F1345" s="19"/>
      <c r="G1345" s="19"/>
      <c r="H1345" s="19"/>
      <c r="I1345" s="19"/>
      <c r="J1345" s="19"/>
      <c r="K1345" s="383"/>
      <c r="L1345" s="474"/>
      <c r="M1345" s="471"/>
      <c r="N1345" s="405"/>
      <c r="O1345" s="541"/>
      <c r="P1345" s="405"/>
      <c r="Q1345" s="405"/>
      <c r="S1345" s="344" t="str">
        <f t="shared" si="167"/>
        <v>FUNDAÇÕES E ESTRUTURAS</v>
      </c>
    </row>
    <row r="1346" spans="1:19" s="414" customFormat="1">
      <c r="A1346" s="650" t="s">
        <v>9</v>
      </c>
      <c r="B1346" s="425"/>
      <c r="C1346" s="410"/>
      <c r="D1346" s="426" t="s">
        <v>2112</v>
      </c>
      <c r="E1346" s="421"/>
      <c r="F1346" s="423"/>
      <c r="G1346" s="423"/>
      <c r="H1346" s="423"/>
      <c r="I1346" s="423"/>
      <c r="J1346" s="423"/>
      <c r="K1346" s="498"/>
      <c r="L1346" s="474"/>
      <c r="M1346" s="471"/>
      <c r="N1346" s="419"/>
      <c r="O1346" s="541"/>
      <c r="P1346" s="419"/>
      <c r="Q1346" s="419"/>
      <c r="S1346" s="414" t="str">
        <f t="shared" si="167"/>
        <v>ESTACAS</v>
      </c>
    </row>
    <row r="1347" spans="1:19" s="414" customFormat="1" hidden="1">
      <c r="A1347" s="650" t="s">
        <v>348</v>
      </c>
      <c r="B1347" s="425"/>
      <c r="C1347" s="410"/>
      <c r="D1347" s="426" t="s">
        <v>2264</v>
      </c>
      <c r="E1347" s="421"/>
      <c r="F1347" s="423"/>
      <c r="G1347" s="423"/>
      <c r="H1347" s="423"/>
      <c r="I1347" s="423"/>
      <c r="J1347" s="423"/>
      <c r="K1347" s="498"/>
      <c r="L1347" s="474"/>
      <c r="M1347" s="471"/>
      <c r="N1347" s="419"/>
      <c r="O1347" s="541"/>
      <c r="P1347" s="419"/>
      <c r="Q1347" s="419"/>
      <c r="S1347" s="414" t="str">
        <f t="shared" si="167"/>
        <v>ESTACA PRÉ-MOLDADA</v>
      </c>
    </row>
    <row r="1348" spans="1:19" s="344" customFormat="1" ht="25.5" hidden="1">
      <c r="A1348" s="55" t="s">
        <v>417</v>
      </c>
      <c r="B1348" s="57">
        <f>'[3]Plan Tron'!B161</f>
        <v>90812</v>
      </c>
      <c r="C1348" s="57" t="str">
        <f>'[3]Plan Tron'!C161</f>
        <v>SINAPI</v>
      </c>
      <c r="D1348" s="643" t="str">
        <f>'[3]Plan Tron'!D161</f>
        <v>ESTACA HÉLICE CONTÍNUA, DIÂMETRO DE 70 CM, COMPRIMENTO TOTAL ATÉ 15 M, PERFURATRIZ COM TORQUE DE 170 KN.M (EXCLUSIVE MOBILIZAÇÃO E DESMOBILIZAÇÃO). AF_02/2015</v>
      </c>
      <c r="E1348" s="57" t="str">
        <f>'[3]Plan Tron'!E161</f>
        <v>M</v>
      </c>
      <c r="F1348" s="36">
        <v>360</v>
      </c>
      <c r="G1348" s="9">
        <v>21</v>
      </c>
      <c r="H1348" s="9">
        <f>'[3]Plan Tron'!F161</f>
        <v>206.92</v>
      </c>
      <c r="I1348" s="9">
        <v>26.44</v>
      </c>
      <c r="J1348" s="9">
        <f>ROUND(H1348*(I1348/100+1),2)</f>
        <v>261.63</v>
      </c>
      <c r="K1348" s="383">
        <v>360</v>
      </c>
      <c r="L1348" s="474">
        <f>F1348-K1348</f>
        <v>0</v>
      </c>
      <c r="M1348" s="471">
        <f t="shared" si="166"/>
        <v>0</v>
      </c>
      <c r="N1348" s="405"/>
      <c r="O1348" s="541"/>
      <c r="P1348" s="405"/>
      <c r="Q1348" s="405"/>
      <c r="S1348" s="344" t="str">
        <f t="shared" si="167"/>
        <v>ESTACA HÉLICE CONTÍNUA, DIÂMETRO DE 70 CM, COMPRIMENTO TOTAL ATÉ 15 M, PERFURATRIZ COM TORQUE DE 170 KN.M (EXCLUSIVE MOBILIZAÇÃO E DESMOBILIZAÇÃO). AF_02/2015</v>
      </c>
    </row>
    <row r="1349" spans="1:19" s="414" customFormat="1">
      <c r="A1349" s="650" t="s">
        <v>8</v>
      </c>
      <c r="B1349" s="425"/>
      <c r="C1349" s="410"/>
      <c r="D1349" s="426" t="s">
        <v>2055</v>
      </c>
      <c r="E1349" s="421"/>
      <c r="F1349" s="423"/>
      <c r="G1349" s="423"/>
      <c r="H1349" s="423"/>
      <c r="I1349" s="423"/>
      <c r="J1349" s="9"/>
      <c r="K1349" s="498"/>
      <c r="L1349" s="474"/>
      <c r="M1349" s="471"/>
      <c r="N1349" s="419"/>
      <c r="O1349" s="541"/>
      <c r="P1349" s="419"/>
      <c r="Q1349" s="419"/>
      <c r="S1349" s="414" t="str">
        <f t="shared" si="167"/>
        <v>LASTROS / FUNDAÇÕES DIRETAS</v>
      </c>
    </row>
    <row r="1350" spans="1:19" s="414" customFormat="1">
      <c r="A1350" s="650" t="s">
        <v>317</v>
      </c>
      <c r="B1350" s="425"/>
      <c r="C1350" s="410"/>
      <c r="D1350" s="426" t="s">
        <v>2056</v>
      </c>
      <c r="E1350" s="640"/>
      <c r="F1350" s="423"/>
      <c r="G1350" s="423"/>
      <c r="H1350" s="423"/>
      <c r="I1350" s="423"/>
      <c r="J1350" s="9"/>
      <c r="K1350" s="498"/>
      <c r="L1350" s="474"/>
      <c r="M1350" s="471"/>
      <c r="N1350" s="419"/>
      <c r="O1350" s="541"/>
      <c r="P1350" s="419"/>
      <c r="Q1350" s="419"/>
      <c r="S1350" s="414" t="str">
        <f t="shared" si="167"/>
        <v>LASTRO DE PEDRA BRITADA E FUNDAÇÕES EM BALDRAME.</v>
      </c>
    </row>
    <row r="1351" spans="1:19" s="344" customFormat="1">
      <c r="A1351" s="55" t="s">
        <v>318</v>
      </c>
      <c r="B1351" s="57">
        <f>'[3]Plan Tron'!B18</f>
        <v>6514</v>
      </c>
      <c r="C1351" s="57" t="str">
        <f>'[3]Plan Tron'!C18</f>
        <v>SINAPI</v>
      </c>
      <c r="D1351" s="644" t="str">
        <f>'[3]Plan Tron'!D18</f>
        <v xml:space="preserve">FORNECIMENTO E LANCAMENTO DE BRITA N. 4 </v>
      </c>
      <c r="E1351" s="57" t="str">
        <f>'[3]Plan Tron'!E18</f>
        <v>M³</v>
      </c>
      <c r="F1351" s="19">
        <v>4.6399999999999997</v>
      </c>
      <c r="G1351" s="19">
        <f>G78</f>
        <v>74.28</v>
      </c>
      <c r="H1351" s="19">
        <f>'[3]Plan Tron'!F18</f>
        <v>88.38</v>
      </c>
      <c r="I1351" s="19">
        <v>26.44</v>
      </c>
      <c r="J1351" s="9">
        <f t="shared" ref="J1351:J1360" si="168">ROUND(H1351*(I1351/100+1),2)</f>
        <v>111.75</v>
      </c>
      <c r="K1351" s="383">
        <v>0</v>
      </c>
      <c r="L1351" s="474">
        <f>F1351-K1351</f>
        <v>4.6399999999999997</v>
      </c>
      <c r="M1351" s="471">
        <f t="shared" si="166"/>
        <v>518.52</v>
      </c>
      <c r="N1351" s="405"/>
      <c r="O1351" s="541"/>
      <c r="P1351" s="405"/>
      <c r="Q1351" s="405"/>
      <c r="S1351" s="344" t="str">
        <f t="shared" si="167"/>
        <v xml:space="preserve">FORNECIMENTO E LANCAMENTO DE BRITA N. 4 </v>
      </c>
    </row>
    <row r="1352" spans="1:19" s="414" customFormat="1">
      <c r="A1352" s="650" t="s">
        <v>7</v>
      </c>
      <c r="B1352" s="425"/>
      <c r="C1352" s="410"/>
      <c r="D1352" s="426" t="s">
        <v>2058</v>
      </c>
      <c r="E1352" s="421"/>
      <c r="F1352" s="423"/>
      <c r="G1352" s="623"/>
      <c r="H1352" s="623"/>
      <c r="I1352" s="423"/>
      <c r="J1352" s="9"/>
      <c r="K1352" s="498"/>
      <c r="L1352" s="474"/>
      <c r="M1352" s="471"/>
      <c r="N1352" s="419"/>
      <c r="O1352" s="541"/>
      <c r="P1352" s="419"/>
      <c r="Q1352" s="419"/>
      <c r="S1352" s="414" t="str">
        <f t="shared" si="167"/>
        <v>FORMAS / CIMBRAMENTOS / ESCORAMENTOS</v>
      </c>
    </row>
    <row r="1353" spans="1:19" s="344" customFormat="1">
      <c r="A1353" s="55" t="s">
        <v>314</v>
      </c>
      <c r="B1353" s="57">
        <f>'[3]Plan Tron'!B20</f>
        <v>5651</v>
      </c>
      <c r="C1353" s="57" t="str">
        <f>'[3]Plan Tron'!C20</f>
        <v>SINAPI</v>
      </c>
      <c r="D1353" s="644" t="str">
        <f>'[3]Plan Tron'!D20</f>
        <v>FORMA DE MADEIRA COMUM PARA FUNDAÇÕES - REAPROVEITAMENTO 5X.</v>
      </c>
      <c r="E1353" s="57" t="str">
        <f>'[3]Plan Tron'!E20</f>
        <v>M²</v>
      </c>
      <c r="F1353" s="19">
        <v>48.72</v>
      </c>
      <c r="G1353" s="36">
        <v>22.96</v>
      </c>
      <c r="H1353" s="36">
        <f>'[3]Plan Tron'!F20</f>
        <v>29.01</v>
      </c>
      <c r="I1353" s="19">
        <v>26.44</v>
      </c>
      <c r="J1353" s="9">
        <f t="shared" si="168"/>
        <v>36.68</v>
      </c>
      <c r="K1353" s="383">
        <v>0</v>
      </c>
      <c r="L1353" s="474">
        <f>F1353-K1353</f>
        <v>48.72</v>
      </c>
      <c r="M1353" s="471">
        <f t="shared" si="166"/>
        <v>1787.05</v>
      </c>
      <c r="N1353" s="405"/>
      <c r="O1353" s="541"/>
      <c r="P1353" s="405"/>
      <c r="Q1353" s="405"/>
      <c r="S1353" s="344" t="str">
        <f t="shared" si="167"/>
        <v>FORMA DE MADEIRA COMUM PARA FUNDAÇÕES - REAPROVEITAMENTO 5X.</v>
      </c>
    </row>
    <row r="1354" spans="1:19" s="414" customFormat="1">
      <c r="A1354" s="650" t="s">
        <v>6</v>
      </c>
      <c r="B1354" s="425"/>
      <c r="C1354" s="410"/>
      <c r="D1354" s="426" t="s">
        <v>2059</v>
      </c>
      <c r="E1354" s="421"/>
      <c r="F1354" s="423"/>
      <c r="G1354" s="623"/>
      <c r="H1354" s="623"/>
      <c r="I1354" s="423"/>
      <c r="J1354" s="9"/>
      <c r="K1354" s="498"/>
      <c r="L1354" s="474"/>
      <c r="M1354" s="471"/>
      <c r="N1354" s="419"/>
      <c r="O1354" s="541"/>
      <c r="P1354" s="419"/>
      <c r="Q1354" s="419"/>
      <c r="S1354" s="414" t="str">
        <f t="shared" si="167"/>
        <v>ARMADURAS</v>
      </c>
    </row>
    <row r="1355" spans="1:19" s="414" customFormat="1">
      <c r="A1355" s="650" t="s">
        <v>311</v>
      </c>
      <c r="B1355" s="425"/>
      <c r="C1355" s="410"/>
      <c r="D1355" s="426" t="s">
        <v>2060</v>
      </c>
      <c r="E1355" s="421"/>
      <c r="F1355" s="623"/>
      <c r="G1355" s="423"/>
      <c r="H1355" s="423"/>
      <c r="I1355" s="423"/>
      <c r="J1355" s="9"/>
      <c r="K1355" s="498"/>
      <c r="L1355" s="474"/>
      <c r="M1355" s="471"/>
      <c r="N1355" s="419"/>
      <c r="O1355" s="541"/>
      <c r="P1355" s="419"/>
      <c r="Q1355" s="419"/>
      <c r="S1355" s="414" t="str">
        <f t="shared" si="167"/>
        <v>ARMAÇÃO EM AÇO CA-50 PARA ESTRUTURAS DE CONCRETO.</v>
      </c>
    </row>
    <row r="1356" spans="1:19" s="344" customFormat="1" ht="25.5">
      <c r="A1356" s="55" t="s">
        <v>310</v>
      </c>
      <c r="B1356" s="57">
        <f>'[3]Plan Tron'!B21</f>
        <v>92761</v>
      </c>
      <c r="C1356" s="57" t="str">
        <f>'[3]Plan Tron'!C21</f>
        <v>SINAPI</v>
      </c>
      <c r="D1356" s="643" t="str">
        <f>'[3]Plan Tron'!D21</f>
        <v>ARMAÇÃO DE PILAR OU VIGA DE UMA ESTRUTURA CONVENCIONAL DE CONCRETO ARMADO EM UM EDIFÍCIO DE MÚLTIPLOS PAVIMENTOS UTILIZANDO AÇO CA-50 DE 8.0MM - MONTAGEM. AF_12/2015</v>
      </c>
      <c r="E1356" s="57" t="str">
        <f>'[3]Plan Tron'!E21</f>
        <v>KG</v>
      </c>
      <c r="F1356" s="36">
        <v>585.87</v>
      </c>
      <c r="G1356" s="19">
        <f>G85</f>
        <v>5.9</v>
      </c>
      <c r="H1356" s="19">
        <f>'[3]Plan Tron'!F21</f>
        <v>9.44</v>
      </c>
      <c r="I1356" s="19">
        <v>26.44</v>
      </c>
      <c r="J1356" s="9">
        <f t="shared" si="168"/>
        <v>11.94</v>
      </c>
      <c r="K1356" s="474">
        <v>322.2285</v>
      </c>
      <c r="L1356" s="474">
        <f>F1356-K1356</f>
        <v>263.64150000000001</v>
      </c>
      <c r="M1356" s="471">
        <f t="shared" si="166"/>
        <v>3147.88</v>
      </c>
      <c r="N1356" s="405"/>
      <c r="O1356" s="541"/>
      <c r="P1356" s="405"/>
      <c r="Q1356" s="405"/>
      <c r="S1356" s="344" t="str">
        <f t="shared" si="167"/>
        <v>ARMAÇÃO DE PILAR OU VIGA DE UMA ESTRUTURA CONVENCIONAL DE CONCRETO ARMADO EM UM EDIFÍCIO DE MÚLTIPLOS PAVIMENTOS UTILIZANDO AÇO CA-50 DE 8.0MM - MONTAGEM. AF_12/2015</v>
      </c>
    </row>
    <row r="1357" spans="1:19" s="414" customFormat="1">
      <c r="A1357" s="650" t="s">
        <v>5</v>
      </c>
      <c r="B1357" s="425"/>
      <c r="C1357" s="410"/>
      <c r="D1357" s="426" t="s">
        <v>2061</v>
      </c>
      <c r="E1357" s="421"/>
      <c r="F1357" s="423"/>
      <c r="G1357" s="623"/>
      <c r="H1357" s="623"/>
      <c r="I1357" s="423"/>
      <c r="J1357" s="9"/>
      <c r="K1357" s="498"/>
      <c r="L1357" s="474"/>
      <c r="M1357" s="471"/>
      <c r="N1357" s="419"/>
      <c r="O1357" s="541"/>
      <c r="P1357" s="419"/>
      <c r="Q1357" s="419"/>
      <c r="S1357" s="414" t="str">
        <f t="shared" si="167"/>
        <v>CONCRETOS</v>
      </c>
    </row>
    <row r="1358" spans="1:19" s="344" customFormat="1">
      <c r="A1358" s="55" t="s">
        <v>346</v>
      </c>
      <c r="B1358" s="57">
        <f>'[3]Plan Tron'!B23</f>
        <v>110404</v>
      </c>
      <c r="C1358" s="57" t="str">
        <f>'[3]Plan Tron'!C23</f>
        <v>CPOS</v>
      </c>
      <c r="D1358" s="644" t="str">
        <f>UPPER('[3]Plan Tron'!D23)</f>
        <v>CONCRETO NÃO ESTRUTURAL EXECUTADO NO LOCAL, MÍNIMO 200 KG CIMENTO / M³</v>
      </c>
      <c r="E1358" s="57" t="str">
        <f>'[3]Plan Tron'!E23</f>
        <v>M³</v>
      </c>
      <c r="F1358" s="19">
        <v>6.08</v>
      </c>
      <c r="G1358" s="19">
        <v>238.25</v>
      </c>
      <c r="H1358" s="19">
        <f>'[3]Plan Tron'!F23</f>
        <v>231.91</v>
      </c>
      <c r="I1358" s="19">
        <v>26.44</v>
      </c>
      <c r="J1358" s="9">
        <f t="shared" si="168"/>
        <v>293.23</v>
      </c>
      <c r="K1358" s="383">
        <v>0</v>
      </c>
      <c r="L1358" s="474">
        <f>F1358-K1358</f>
        <v>6.08</v>
      </c>
      <c r="M1358" s="471">
        <f t="shared" si="166"/>
        <v>1782.84</v>
      </c>
      <c r="N1358" s="405"/>
      <c r="O1358" s="541"/>
      <c r="P1358" s="405"/>
      <c r="Q1358" s="405"/>
      <c r="S1358" s="344" t="str">
        <f t="shared" si="167"/>
        <v>CONCRETO NÃO ESTRUTURAL EXECUTADO NO LOCAL, MÍNIMO 200 KG CIMENTO / M³</v>
      </c>
    </row>
    <row r="1359" spans="1:19" s="414" customFormat="1">
      <c r="A1359" s="650" t="s">
        <v>706</v>
      </c>
      <c r="B1359" s="425"/>
      <c r="C1359" s="410"/>
      <c r="D1359" s="426" t="s">
        <v>2062</v>
      </c>
      <c r="E1359" s="421"/>
      <c r="F1359" s="623"/>
      <c r="G1359" s="423"/>
      <c r="H1359" s="423"/>
      <c r="I1359" s="423"/>
      <c r="J1359" s="9"/>
      <c r="K1359" s="498"/>
      <c r="L1359" s="474"/>
      <c r="M1359" s="471"/>
      <c r="N1359" s="419"/>
      <c r="O1359" s="541"/>
      <c r="P1359" s="419"/>
      <c r="Q1359" s="419"/>
      <c r="S1359" s="414" t="str">
        <f t="shared" si="167"/>
        <v>CONCRETO BOMBEADO</v>
      </c>
    </row>
    <row r="1360" spans="1:19" s="344" customFormat="1">
      <c r="A1360" s="55" t="s">
        <v>1137</v>
      </c>
      <c r="B1360" s="57">
        <f>'[3]Plan Tron'!B27</f>
        <v>110132</v>
      </c>
      <c r="C1360" s="57" t="str">
        <f>'[3]Plan Tron'!C27</f>
        <v>CPOS</v>
      </c>
      <c r="D1360" s="644" t="str">
        <f>'[3]Plan Tron'!D27</f>
        <v xml:space="preserve">CONCRETO USINADO, FCK=30MPa - PARA BOMBEAMENTO </v>
      </c>
      <c r="E1360" s="57" t="str">
        <f>'[3]Plan Tron'!E27</f>
        <v>M³</v>
      </c>
      <c r="F1360" s="36">
        <v>19.57</v>
      </c>
      <c r="G1360" s="19">
        <v>336.65</v>
      </c>
      <c r="H1360" s="19">
        <f>'[3]Plan Tron'!F27</f>
        <v>311.94</v>
      </c>
      <c r="I1360" s="19">
        <v>26.44</v>
      </c>
      <c r="J1360" s="9">
        <f t="shared" si="168"/>
        <v>394.42</v>
      </c>
      <c r="K1360" s="474">
        <v>8.8064999999999998</v>
      </c>
      <c r="L1360" s="474">
        <f>F1360-K1360</f>
        <v>10.763500000000001</v>
      </c>
      <c r="M1360" s="471">
        <f t="shared" si="166"/>
        <v>4245.34</v>
      </c>
      <c r="N1360" s="405"/>
      <c r="O1360" s="541"/>
      <c r="P1360" s="405"/>
      <c r="Q1360" s="405"/>
      <c r="S1360" s="344" t="str">
        <f t="shared" si="167"/>
        <v xml:space="preserve">CONCRETO USINADO, FCK=30MPA - PARA BOMBEAMENTO </v>
      </c>
    </row>
    <row r="1361" spans="1:19" s="344" customFormat="1">
      <c r="A1361" s="55"/>
      <c r="B1361" s="65"/>
      <c r="C1361" s="55"/>
      <c r="D1361" s="65"/>
      <c r="E1361" s="18"/>
      <c r="F1361" s="19"/>
      <c r="G1361" s="36"/>
      <c r="H1361" s="36"/>
      <c r="I1361" s="19"/>
      <c r="J1361" s="19"/>
      <c r="K1361" s="65"/>
      <c r="L1361" s="474"/>
      <c r="M1361" s="471"/>
      <c r="N1361" s="405"/>
      <c r="O1361" s="541"/>
      <c r="P1361" s="405"/>
      <c r="Q1361" s="405"/>
    </row>
    <row r="1362" spans="1:19" s="344" customFormat="1">
      <c r="A1362" s="59"/>
      <c r="B1362" s="38"/>
      <c r="C1362" s="59"/>
      <c r="D1362" s="403" t="s">
        <v>76</v>
      </c>
      <c r="E1362" s="28"/>
      <c r="F1362" s="36"/>
      <c r="G1362" s="36"/>
      <c r="H1362" s="36"/>
      <c r="I1362" s="19"/>
      <c r="J1362" s="19"/>
      <c r="K1362" s="383"/>
      <c r="L1362" s="474"/>
      <c r="M1362" s="471"/>
      <c r="N1362" s="405"/>
      <c r="O1362" s="541"/>
      <c r="P1362" s="405"/>
      <c r="Q1362" s="405"/>
      <c r="S1362" s="344" t="str">
        <f t="shared" ref="S1362:S1370" si="169">UPPER(D1362)</f>
        <v/>
      </c>
    </row>
    <row r="1363" spans="1:19" s="344" customFormat="1">
      <c r="A1363" s="59">
        <v>3</v>
      </c>
      <c r="B1363" s="79"/>
      <c r="C1363" s="59"/>
      <c r="D1363" s="169" t="s">
        <v>2067</v>
      </c>
      <c r="E1363" s="18"/>
      <c r="F1363" s="36"/>
      <c r="G1363" s="19"/>
      <c r="H1363" s="19"/>
      <c r="I1363" s="19"/>
      <c r="J1363" s="19"/>
      <c r="K1363" s="383"/>
      <c r="L1363" s="474"/>
      <c r="M1363" s="471"/>
      <c r="N1363" s="405"/>
      <c r="O1363" s="541"/>
      <c r="P1363" s="405"/>
      <c r="Q1363" s="405"/>
      <c r="S1363" s="344" t="str">
        <f t="shared" si="169"/>
        <v>PAREDES / PAINÉIS</v>
      </c>
    </row>
    <row r="1364" spans="1:19" s="414" customFormat="1">
      <c r="A1364" s="650" t="s">
        <v>144</v>
      </c>
      <c r="B1364" s="425"/>
      <c r="C1364" s="410"/>
      <c r="D1364" s="426" t="s">
        <v>2068</v>
      </c>
      <c r="E1364" s="421"/>
      <c r="F1364" s="623"/>
      <c r="G1364" s="423"/>
      <c r="H1364" s="423"/>
      <c r="I1364" s="423"/>
      <c r="J1364" s="423"/>
      <c r="K1364" s="498"/>
      <c r="L1364" s="474"/>
      <c r="M1364" s="471"/>
      <c r="N1364" s="419"/>
      <c r="O1364" s="541"/>
      <c r="P1364" s="419"/>
      <c r="Q1364" s="419"/>
      <c r="S1364" s="414" t="str">
        <f t="shared" si="169"/>
        <v>ALVENARIA DE BLOCOS DE CONCRETO</v>
      </c>
    </row>
    <row r="1365" spans="1:19" s="414" customFormat="1">
      <c r="A1365" s="650" t="s">
        <v>143</v>
      </c>
      <c r="B1365" s="611"/>
      <c r="C1365" s="410"/>
      <c r="D1365" s="426" t="s">
        <v>2069</v>
      </c>
      <c r="E1365" s="421"/>
      <c r="F1365" s="623"/>
      <c r="G1365" s="423"/>
      <c r="H1365" s="423"/>
      <c r="I1365" s="423"/>
      <c r="J1365" s="423"/>
      <c r="K1365" s="498"/>
      <c r="L1365" s="474"/>
      <c r="M1365" s="471"/>
      <c r="N1365" s="419"/>
      <c r="O1365" s="541"/>
      <c r="P1365" s="419"/>
      <c r="Q1365" s="419"/>
      <c r="S1365" s="414" t="str">
        <f t="shared" si="169"/>
        <v>ALVENARIA DE BLOCO DE CONCRETO</v>
      </c>
    </row>
    <row r="1366" spans="1:19" s="344" customFormat="1">
      <c r="A1366" s="55" t="s">
        <v>343</v>
      </c>
      <c r="B1366" s="57">
        <f>'[3]Plan Tron'!B157</f>
        <v>141123</v>
      </c>
      <c r="C1366" s="57" t="str">
        <f>'[3]Plan Tron'!C157</f>
        <v>CPOS</v>
      </c>
      <c r="D1366" s="644" t="str">
        <f>UPPER('[3]Plan Tron'!D157)</f>
        <v>ALVENARIA DE BLOCO DE CONCRETO ESTRUTURAL, USO REVESTIDO, DE 19 CM</v>
      </c>
      <c r="E1366" s="57" t="str">
        <f>'[3]Plan Tron'!E157</f>
        <v>M²</v>
      </c>
      <c r="F1366" s="36">
        <v>134.15</v>
      </c>
      <c r="G1366" s="19">
        <v>65</v>
      </c>
      <c r="H1366" s="19">
        <f>'[3]Plan Tron'!F157</f>
        <v>63.81</v>
      </c>
      <c r="I1366" s="19">
        <v>26.44</v>
      </c>
      <c r="J1366" s="19">
        <f>ROUND(H1366*(I1366/100+1),2)</f>
        <v>80.680000000000007</v>
      </c>
      <c r="K1366" s="383">
        <v>0</v>
      </c>
      <c r="L1366" s="474">
        <f>F1366-K1366</f>
        <v>134.15</v>
      </c>
      <c r="M1366" s="471">
        <f t="shared" si="166"/>
        <v>10823.22</v>
      </c>
      <c r="N1366" s="405"/>
      <c r="O1366" s="541"/>
      <c r="P1366" s="405"/>
      <c r="Q1366" s="405"/>
      <c r="S1366" s="344" t="str">
        <f t="shared" si="169"/>
        <v>ALVENARIA DE BLOCO DE CONCRETO ESTRUTURAL, USO REVESTIDO, DE 19 CM</v>
      </c>
    </row>
    <row r="1367" spans="1:19" s="344" customFormat="1" ht="25.5">
      <c r="A1367" s="55" t="s">
        <v>934</v>
      </c>
      <c r="B1367" s="57">
        <f>'[3]Plan Tron'!B31</f>
        <v>89456</v>
      </c>
      <c r="C1367" s="57" t="str">
        <f>'[3]Plan Tron'!C31</f>
        <v>SINAPI</v>
      </c>
      <c r="D1367" s="643" t="str">
        <f>'[3]Plan Tron'!D31</f>
        <v>ALVENARIA DE BLOCOS DE CONCRETO ESTRUTURAL 14X19X39 CM, (ESPESSURA 14 CM) FBK = 14,0 MPA, PARA PAREDES COM ÁREA LÍQUIDA MAIOR OU IGUAL A 6M², SEM VÃOS, UTILIZANDO PALHETA. AF_12/2014</v>
      </c>
      <c r="E1367" s="57" t="str">
        <f>'[3]Plan Tron'!E31</f>
        <v>M²</v>
      </c>
      <c r="F1367" s="36">
        <v>10.55</v>
      </c>
      <c r="G1367" s="19">
        <v>54.83</v>
      </c>
      <c r="H1367" s="19">
        <f>'[3]Plan Tron'!F31</f>
        <v>60.61</v>
      </c>
      <c r="I1367" s="19">
        <v>26.44</v>
      </c>
      <c r="J1367" s="19">
        <f>ROUND(H1367*(I1367/100+1),2)</f>
        <v>76.64</v>
      </c>
      <c r="K1367" s="383">
        <v>0</v>
      </c>
      <c r="L1367" s="474">
        <f>F1367-K1367</f>
        <v>10.55</v>
      </c>
      <c r="M1367" s="471">
        <f t="shared" si="166"/>
        <v>808.55</v>
      </c>
      <c r="N1367" s="405"/>
      <c r="O1367" s="541"/>
      <c r="P1367" s="405"/>
      <c r="Q1367" s="405"/>
      <c r="S1367" s="344" t="str">
        <f t="shared" si="169"/>
        <v>ALVENARIA DE BLOCOS DE CONCRETO ESTRUTURAL 14X19X39 CM, (ESPESSURA 14 CM) FBK = 14,0 MPA, PARA PAREDES COM ÁREA LÍQUIDA MAIOR OU IGUAL A 6M², SEM VÃOS, UTILIZANDO PALHETA. AF_12/2014</v>
      </c>
    </row>
    <row r="1368" spans="1:19" s="414" customFormat="1">
      <c r="A1368" s="650" t="s">
        <v>142</v>
      </c>
      <c r="B1368" s="425"/>
      <c r="C1368" s="410"/>
      <c r="D1368" s="426" t="s">
        <v>2177</v>
      </c>
      <c r="E1368" s="421"/>
      <c r="F1368" s="623"/>
      <c r="G1368" s="423"/>
      <c r="H1368" s="423"/>
      <c r="I1368" s="423"/>
      <c r="J1368" s="423"/>
      <c r="K1368" s="498"/>
      <c r="L1368" s="474"/>
      <c r="M1368" s="471"/>
      <c r="N1368" s="419"/>
      <c r="O1368" s="541"/>
      <c r="P1368" s="419"/>
      <c r="Q1368" s="419"/>
      <c r="S1368" s="414" t="str">
        <f t="shared" si="169"/>
        <v>ALVENARIA DE ELEMENTOS VAZADOS DE CONCRETO</v>
      </c>
    </row>
    <row r="1369" spans="1:19" s="414" customFormat="1">
      <c r="A1369" s="650" t="s">
        <v>141</v>
      </c>
      <c r="B1369" s="611"/>
      <c r="C1369" s="410"/>
      <c r="D1369" s="426" t="s">
        <v>2265</v>
      </c>
      <c r="E1369" s="421"/>
      <c r="F1369" s="623"/>
      <c r="G1369" s="423"/>
      <c r="H1369" s="423"/>
      <c r="I1369" s="423"/>
      <c r="J1369" s="423"/>
      <c r="K1369" s="498"/>
      <c r="L1369" s="474"/>
      <c r="M1369" s="471"/>
      <c r="N1369" s="419"/>
      <c r="O1369" s="541"/>
      <c r="P1369" s="419"/>
      <c r="Q1369" s="419"/>
      <c r="S1369" s="414" t="str">
        <f t="shared" si="169"/>
        <v>ALVENARIA DE ELEMENTO VAZADO DE CONCRETO (COBOGÓ).</v>
      </c>
    </row>
    <row r="1370" spans="1:19" s="344" customFormat="1" ht="25.5">
      <c r="A1370" s="55" t="s">
        <v>932</v>
      </c>
      <c r="B1370" s="22" t="str">
        <f>'[3]Plan Tron'!B109</f>
        <v xml:space="preserve">73937/001 </v>
      </c>
      <c r="C1370" s="22" t="str">
        <f>'[3]Plan Tron'!C109</f>
        <v>SINAPI</v>
      </c>
      <c r="D1370" s="63" t="str">
        <f>'[3]Plan Tron'!D109</f>
        <v>COBOGO DE CONCRETO (ELEMENTO VAZADO), 7X50X50CM, ASSENTADO COM ARGAMASSA TRACO 1:4 (CIMENTO E AREIA)</v>
      </c>
      <c r="E1370" s="22" t="str">
        <f>'[3]Plan Tron'!E109</f>
        <v>M²</v>
      </c>
      <c r="F1370" s="36">
        <v>19.3</v>
      </c>
      <c r="G1370" s="19">
        <v>88.93</v>
      </c>
      <c r="H1370" s="19">
        <f>'[3]Plan Tron'!F109</f>
        <v>104.32</v>
      </c>
      <c r="I1370" s="19">
        <v>26.44</v>
      </c>
      <c r="J1370" s="19">
        <f>ROUND(H1370*(I1370/100+1),2)</f>
        <v>131.9</v>
      </c>
      <c r="K1370" s="383">
        <v>0</v>
      </c>
      <c r="L1370" s="474">
        <f>F1370-K1370</f>
        <v>19.3</v>
      </c>
      <c r="M1370" s="471">
        <f t="shared" si="166"/>
        <v>2545.67</v>
      </c>
      <c r="N1370" s="405"/>
      <c r="O1370" s="541"/>
      <c r="P1370" s="405"/>
      <c r="Q1370" s="405"/>
      <c r="S1370" s="344" t="str">
        <f t="shared" si="169"/>
        <v>COBOGO DE CONCRETO (ELEMENTO VAZADO), 7X50X50CM, ASSENTADO COM ARGAMASSA TRACO 1:4 (CIMENTO E AREIA)</v>
      </c>
    </row>
    <row r="1371" spans="1:19" s="344" customFormat="1">
      <c r="A1371" s="55"/>
      <c r="B1371" s="65"/>
      <c r="C1371" s="55"/>
      <c r="D1371" s="65"/>
      <c r="E1371" s="18"/>
      <c r="F1371" s="19"/>
      <c r="G1371" s="19"/>
      <c r="H1371" s="19"/>
      <c r="I1371" s="19"/>
      <c r="J1371" s="19"/>
      <c r="K1371" s="65"/>
      <c r="L1371" s="474"/>
      <c r="M1371" s="471"/>
      <c r="N1371" s="405"/>
      <c r="O1371" s="541"/>
      <c r="P1371" s="405"/>
      <c r="Q1371" s="405"/>
    </row>
    <row r="1372" spans="1:19" s="344" customFormat="1">
      <c r="A1372" s="59"/>
      <c r="B1372" s="38"/>
      <c r="C1372" s="59"/>
      <c r="D1372" s="403" t="s">
        <v>76</v>
      </c>
      <c r="E1372" s="28"/>
      <c r="F1372" s="36"/>
      <c r="G1372" s="36"/>
      <c r="H1372" s="36"/>
      <c r="I1372" s="19"/>
      <c r="J1372" s="19"/>
      <c r="K1372" s="383"/>
      <c r="L1372" s="474"/>
      <c r="M1372" s="471"/>
      <c r="N1372" s="405"/>
      <c r="O1372" s="541"/>
      <c r="P1372" s="405"/>
      <c r="Q1372" s="405"/>
      <c r="S1372" s="344" t="str">
        <f>UPPER(D1372)</f>
        <v/>
      </c>
    </row>
    <row r="1373" spans="1:19" s="344" customFormat="1">
      <c r="A1373" s="59">
        <v>4</v>
      </c>
      <c r="B1373" s="79"/>
      <c r="C1373" s="59"/>
      <c r="D1373" s="169" t="s">
        <v>2125</v>
      </c>
      <c r="E1373" s="18"/>
      <c r="F1373" s="36"/>
      <c r="G1373" s="19"/>
      <c r="H1373" s="19"/>
      <c r="I1373" s="19"/>
      <c r="J1373" s="19"/>
      <c r="K1373" s="383"/>
      <c r="L1373" s="474"/>
      <c r="M1373" s="471"/>
      <c r="N1373" s="405"/>
      <c r="O1373" s="541"/>
      <c r="P1373" s="405"/>
      <c r="Q1373" s="405"/>
      <c r="S1373" s="344" t="str">
        <f>UPPER(D1373)</f>
        <v>COBERTURA</v>
      </c>
    </row>
    <row r="1374" spans="1:19" s="414" customFormat="1">
      <c r="A1374" s="650" t="s">
        <v>139</v>
      </c>
      <c r="B1374" s="425"/>
      <c r="C1374" s="410"/>
      <c r="D1374" s="426" t="s">
        <v>2266</v>
      </c>
      <c r="E1374" s="421"/>
      <c r="F1374" s="623"/>
      <c r="G1374" s="423"/>
      <c r="H1374" s="423"/>
      <c r="I1374" s="423"/>
      <c r="J1374" s="423"/>
      <c r="K1374" s="498"/>
      <c r="L1374" s="474"/>
      <c r="M1374" s="471"/>
      <c r="N1374" s="419"/>
      <c r="O1374" s="541"/>
      <c r="P1374" s="419"/>
      <c r="Q1374" s="419"/>
      <c r="S1374" s="414" t="str">
        <f>UPPER(D1374)</f>
        <v>TELHAMENTO COM TELHA METÁLICA</v>
      </c>
    </row>
    <row r="1375" spans="1:19" s="414" customFormat="1">
      <c r="A1375" s="650" t="s">
        <v>138</v>
      </c>
      <c r="B1375" s="611"/>
      <c r="C1375" s="410"/>
      <c r="D1375" s="426" t="s">
        <v>2267</v>
      </c>
      <c r="E1375" s="421"/>
      <c r="F1375" s="623"/>
      <c r="G1375" s="423"/>
      <c r="H1375" s="423"/>
      <c r="I1375" s="423"/>
      <c r="J1375" s="423"/>
      <c r="K1375" s="498"/>
      <c r="L1375" s="474"/>
      <c r="M1375" s="471"/>
      <c r="N1375" s="419"/>
      <c r="O1375" s="541"/>
      <c r="P1375" s="419"/>
      <c r="Q1375" s="419"/>
      <c r="S1375" s="414" t="str">
        <f>UPPER(D1375)</f>
        <v>TELHA METÁLICA</v>
      </c>
    </row>
    <row r="1376" spans="1:19" s="344" customFormat="1">
      <c r="A1376" s="55" t="s">
        <v>137</v>
      </c>
      <c r="B1376" s="49">
        <f>'[3]Plan Tron'!B193</f>
        <v>94213</v>
      </c>
      <c r="C1376" s="49" t="str">
        <f>'[3]Plan Tron'!C193</f>
        <v>SINAPI</v>
      </c>
      <c r="D1376" s="612" t="str">
        <f>'[3]Plan Tron'!D193</f>
        <v>TELHAMENTO COM TELHA DE AÇO/ALUMÍNIO E = 0,5 MM, COM ATÉ 2 ÁGUAS, INCLUSO IÇAMENTO. AF_06/2016</v>
      </c>
      <c r="E1376" s="49" t="str">
        <f>'[3]Plan Tron'!E193</f>
        <v>M²</v>
      </c>
      <c r="F1376" s="36">
        <v>145</v>
      </c>
      <c r="G1376" s="19">
        <v>32.49</v>
      </c>
      <c r="H1376" s="19">
        <f>'[3]Plan Tron'!F193</f>
        <v>37.729999999999997</v>
      </c>
      <c r="I1376" s="19">
        <v>26.44</v>
      </c>
      <c r="J1376" s="19">
        <f>ROUND(H1376*(I1376/100+1),2)</f>
        <v>47.71</v>
      </c>
      <c r="K1376" s="383">
        <v>0</v>
      </c>
      <c r="L1376" s="474">
        <f>F1376-K1376</f>
        <v>145</v>
      </c>
      <c r="M1376" s="471">
        <f t="shared" si="166"/>
        <v>6917.95</v>
      </c>
      <c r="N1376" s="405"/>
      <c r="O1376" s="541"/>
      <c r="P1376" s="405"/>
      <c r="Q1376" s="405"/>
      <c r="S1376" s="344" t="str">
        <f>UPPER(D1376)</f>
        <v>TELHAMENTO COM TELHA DE AÇO/ALUMÍNIO E = 0,5 MM, COM ATÉ 2 ÁGUAS, INCLUSO IÇAMENTO. AF_06/2016</v>
      </c>
    </row>
    <row r="1377" spans="1:19" s="344" customFormat="1">
      <c r="A1377" s="59"/>
      <c r="B1377" s="65"/>
      <c r="C1377" s="59"/>
      <c r="D1377" s="65"/>
      <c r="E1377" s="18"/>
      <c r="F1377" s="19"/>
      <c r="G1377" s="19"/>
      <c r="H1377" s="19"/>
      <c r="I1377" s="19"/>
      <c r="J1377" s="19"/>
      <c r="K1377" s="65"/>
      <c r="L1377" s="474"/>
      <c r="M1377" s="471"/>
      <c r="N1377" s="405"/>
      <c r="O1377" s="541"/>
      <c r="P1377" s="405"/>
      <c r="Q1377" s="405"/>
    </row>
    <row r="1378" spans="1:19" s="344" customFormat="1">
      <c r="A1378" s="59"/>
      <c r="B1378" s="38"/>
      <c r="C1378" s="59"/>
      <c r="D1378" s="403" t="s">
        <v>76</v>
      </c>
      <c r="E1378" s="28"/>
      <c r="F1378" s="36"/>
      <c r="G1378" s="36"/>
      <c r="H1378" s="36"/>
      <c r="I1378" s="19"/>
      <c r="J1378" s="19"/>
      <c r="K1378" s="383"/>
      <c r="L1378" s="474"/>
      <c r="M1378" s="471"/>
      <c r="N1378" s="405"/>
      <c r="O1378" s="541"/>
      <c r="P1378" s="405"/>
      <c r="Q1378" s="405"/>
      <c r="S1378" s="344" t="str">
        <f>UPPER(D1378)</f>
        <v/>
      </c>
    </row>
    <row r="1379" spans="1:19" s="344" customFormat="1">
      <c r="A1379" s="45">
        <v>5</v>
      </c>
      <c r="B1379" s="17"/>
      <c r="C1379" s="45"/>
      <c r="D1379" s="53" t="s">
        <v>2237</v>
      </c>
      <c r="E1379" s="7"/>
      <c r="F1379" s="10"/>
      <c r="G1379" s="21"/>
      <c r="H1379" s="21"/>
      <c r="I1379" s="148"/>
      <c r="J1379" s="148"/>
      <c r="K1379" s="383"/>
      <c r="L1379" s="474"/>
      <c r="M1379" s="471"/>
      <c r="N1379" s="405"/>
      <c r="O1379" s="541"/>
      <c r="P1379" s="405"/>
      <c r="Q1379" s="405"/>
      <c r="S1379" s="344" t="str">
        <f>UPPER(D1379)</f>
        <v>IMPERMEABILIZAÇÕES  E  PROTEÇÕES  DIVERSAS</v>
      </c>
    </row>
    <row r="1380" spans="1:19" s="414" customFormat="1">
      <c r="A1380" s="410" t="s">
        <v>133</v>
      </c>
      <c r="B1380" s="425"/>
      <c r="C1380" s="410"/>
      <c r="D1380" s="420" t="s">
        <v>2131</v>
      </c>
      <c r="E1380" s="421"/>
      <c r="F1380" s="659"/>
      <c r="G1380" s="659"/>
      <c r="H1380" s="659"/>
      <c r="I1380" s="413"/>
      <c r="J1380" s="413"/>
      <c r="K1380" s="498"/>
      <c r="L1380" s="474"/>
      <c r="M1380" s="471"/>
      <c r="N1380" s="419"/>
      <c r="O1380" s="541"/>
      <c r="P1380" s="419"/>
      <c r="Q1380" s="419"/>
      <c r="S1380" s="414" t="str">
        <f>UPPER(D1380)</f>
        <v>IMPERMEABILIZAÇÃO BETUMINOSA C/ EMULSÃO ASFÁLTICA E ACRÍLICA.</v>
      </c>
    </row>
    <row r="1381" spans="1:19" s="414" customFormat="1" ht="25.5">
      <c r="A1381" s="410" t="s">
        <v>132</v>
      </c>
      <c r="B1381" s="425"/>
      <c r="C1381" s="410"/>
      <c r="D1381" s="420" t="s">
        <v>2132</v>
      </c>
      <c r="E1381" s="421"/>
      <c r="F1381" s="659"/>
      <c r="G1381" s="659"/>
      <c r="H1381" s="659"/>
      <c r="I1381" s="413"/>
      <c r="J1381" s="413"/>
      <c r="K1381" s="498"/>
      <c r="L1381" s="474"/>
      <c r="M1381" s="471"/>
      <c r="N1381" s="419"/>
      <c r="O1381" s="541"/>
      <c r="P1381" s="419"/>
      <c r="Q1381" s="419"/>
      <c r="S1381" s="414" t="str">
        <f>UPPER(D1381)</f>
        <v>IMPERMEABILIZAÇÃO DE FUNDAÇÕES / BALDRAMES / MUROS DE ARRIMO / ALICERCES / REVESTIMENTOS EM CONTATO C/ SOLO - UTILIZAÇÃO DE TINTA BETUMINOSA TIPO NEUTROLIN / DUAS DEMÃOS.</v>
      </c>
    </row>
    <row r="1382" spans="1:19" s="344" customFormat="1">
      <c r="A1382" s="49" t="s">
        <v>131</v>
      </c>
      <c r="B1382" s="29" t="str">
        <f>'[3]Plan Tron'!B71</f>
        <v>74106/001</v>
      </c>
      <c r="C1382" s="342" t="str">
        <f>'[3]Plan Tron'!C71</f>
        <v>SINAPI</v>
      </c>
      <c r="D1382" s="670" t="str">
        <f>'[3]Plan Tron'!D71</f>
        <v>IMPERMEABILIZACAO DE ESTRUTURAS ENTERRADAS,COM TINTA ASFALTICA, DUAS DEMÃOS.</v>
      </c>
      <c r="E1382" s="29" t="str">
        <f>'[3]Plan Tron'!E71</f>
        <v>M²</v>
      </c>
      <c r="F1382" s="20">
        <v>48.72</v>
      </c>
      <c r="G1382" s="20">
        <v>6.65</v>
      </c>
      <c r="H1382" s="20">
        <f>'[3]Plan Tron'!F71</f>
        <v>9.2899999999999991</v>
      </c>
      <c r="I1382" s="10">
        <v>26.44</v>
      </c>
      <c r="J1382" s="10">
        <f>ROUND(H1382*(I1382/100+1),2)</f>
        <v>11.75</v>
      </c>
      <c r="K1382" s="383">
        <v>0</v>
      </c>
      <c r="L1382" s="474">
        <f>F1382-K1382</f>
        <v>48.72</v>
      </c>
      <c r="M1382" s="471">
        <f t="shared" si="166"/>
        <v>572.46</v>
      </c>
      <c r="N1382" s="405"/>
      <c r="O1382" s="541"/>
      <c r="P1382" s="405"/>
      <c r="Q1382" s="405"/>
      <c r="S1382" s="344" t="str">
        <f>UPPER(D1382)</f>
        <v>IMPERMEABILIZACAO DE ESTRUTURAS ENTERRADAS,COM TINTA ASFALTICA, DUAS DEMÃOS.</v>
      </c>
    </row>
    <row r="1383" spans="1:19" s="344" customFormat="1">
      <c r="A1383" s="59"/>
      <c r="B1383" s="38"/>
      <c r="C1383" s="59"/>
      <c r="D1383" s="38"/>
      <c r="E1383" s="28"/>
      <c r="F1383" s="36"/>
      <c r="G1383" s="36"/>
      <c r="H1383" s="36"/>
      <c r="I1383" s="19"/>
      <c r="J1383" s="19"/>
      <c r="K1383" s="38"/>
      <c r="L1383" s="474"/>
      <c r="M1383" s="471"/>
      <c r="N1383" s="405"/>
      <c r="O1383" s="541"/>
      <c r="P1383" s="405"/>
      <c r="Q1383" s="405"/>
    </row>
    <row r="1384" spans="1:19" s="344" customFormat="1">
      <c r="A1384" s="59"/>
      <c r="B1384" s="38"/>
      <c r="C1384" s="59"/>
      <c r="D1384" s="403" t="s">
        <v>76</v>
      </c>
      <c r="E1384" s="28"/>
      <c r="F1384" s="36"/>
      <c r="G1384" s="36"/>
      <c r="H1384" s="36"/>
      <c r="I1384" s="19"/>
      <c r="J1384" s="19"/>
      <c r="K1384" s="383"/>
      <c r="L1384" s="474"/>
      <c r="M1384" s="471"/>
      <c r="N1384" s="405"/>
      <c r="O1384" s="541"/>
      <c r="P1384" s="405"/>
      <c r="Q1384" s="405"/>
      <c r="S1384" s="344" t="str">
        <f>UPPER(D1384)</f>
        <v/>
      </c>
    </row>
    <row r="1385" spans="1:19" s="344" customFormat="1">
      <c r="A1385" s="59">
        <v>6</v>
      </c>
      <c r="B1385" s="79"/>
      <c r="C1385" s="59"/>
      <c r="D1385" s="169" t="s">
        <v>2107</v>
      </c>
      <c r="E1385" s="18"/>
      <c r="F1385" s="19"/>
      <c r="G1385" s="19"/>
      <c r="H1385" s="19"/>
      <c r="I1385" s="19"/>
      <c r="J1385" s="19"/>
      <c r="K1385" s="383"/>
      <c r="L1385" s="474"/>
      <c r="M1385" s="471"/>
      <c r="N1385" s="405"/>
      <c r="O1385" s="541"/>
      <c r="P1385" s="405"/>
      <c r="Q1385" s="405"/>
      <c r="S1385" s="344" t="str">
        <f>UPPER(D1385)</f>
        <v>PINTURAS</v>
      </c>
    </row>
    <row r="1386" spans="1:19" s="414" customFormat="1">
      <c r="A1386" s="650" t="s">
        <v>120</v>
      </c>
      <c r="B1386" s="425"/>
      <c r="C1386" s="410"/>
      <c r="D1386" s="426" t="s">
        <v>2108</v>
      </c>
      <c r="E1386" s="421"/>
      <c r="F1386" s="423"/>
      <c r="G1386" s="423"/>
      <c r="H1386" s="423"/>
      <c r="I1386" s="423"/>
      <c r="J1386" s="423"/>
      <c r="K1386" s="498"/>
      <c r="L1386" s="474"/>
      <c r="M1386" s="471"/>
      <c r="N1386" s="419"/>
      <c r="O1386" s="541"/>
      <c r="P1386" s="419"/>
      <c r="Q1386" s="419"/>
      <c r="S1386" s="414" t="str">
        <f>UPPER(D1386)</f>
        <v>PINTURA DE PAREDE</v>
      </c>
    </row>
    <row r="1387" spans="1:19" s="414" customFormat="1">
      <c r="A1387" s="650" t="s">
        <v>119</v>
      </c>
      <c r="B1387" s="425"/>
      <c r="C1387" s="410"/>
      <c r="D1387" s="426" t="s">
        <v>2199</v>
      </c>
      <c r="E1387" s="421"/>
      <c r="F1387" s="423"/>
      <c r="G1387" s="423"/>
      <c r="H1387" s="423"/>
      <c r="I1387" s="423"/>
      <c r="J1387" s="423"/>
      <c r="K1387" s="498"/>
      <c r="L1387" s="474"/>
      <c r="M1387" s="471"/>
      <c r="N1387" s="419"/>
      <c r="O1387" s="541"/>
      <c r="P1387" s="419"/>
      <c r="Q1387" s="419"/>
      <c r="S1387" s="414" t="str">
        <f>UPPER(D1387)</f>
        <v>PINTURA LÁTEX ACRÍLICA EXTERNA / INTERNA S/ SELADOR</v>
      </c>
    </row>
    <row r="1388" spans="1:19" s="344" customFormat="1">
      <c r="A1388" s="55" t="s">
        <v>118</v>
      </c>
      <c r="B1388" s="49" t="str">
        <f>'[3]Plan Tron'!B72</f>
        <v xml:space="preserve">88489 </v>
      </c>
      <c r="C1388" s="49" t="str">
        <f>'[3]Plan Tron'!C72</f>
        <v>SINAPI</v>
      </c>
      <c r="D1388" s="614" t="str">
        <f>'[3]Plan Tron'!D72</f>
        <v>APLICAÇÃO MANUAL DE PINTURA COM TINTA LÁTEX ACRÍLICA EM PAREDES, DUAS DEMÃOS. AF_06/2014</v>
      </c>
      <c r="E1388" s="49" t="str">
        <f>'[3]Plan Tron'!E72</f>
        <v>M²</v>
      </c>
      <c r="F1388" s="19">
        <v>446.21</v>
      </c>
      <c r="G1388" s="19">
        <v>8.39</v>
      </c>
      <c r="H1388" s="19">
        <f>'[3]Plan Tron'!F72</f>
        <v>9.69</v>
      </c>
      <c r="I1388" s="19">
        <v>26.44</v>
      </c>
      <c r="J1388" s="19">
        <f>ROUND(H1388*(I1388/100+1),2)</f>
        <v>12.25</v>
      </c>
      <c r="K1388" s="383">
        <v>0</v>
      </c>
      <c r="L1388" s="474">
        <f>F1388-K1388</f>
        <v>446.21</v>
      </c>
      <c r="M1388" s="471">
        <f t="shared" si="166"/>
        <v>5466.07</v>
      </c>
      <c r="N1388" s="405"/>
      <c r="O1388" s="541"/>
      <c r="P1388" s="405"/>
      <c r="Q1388" s="405"/>
      <c r="S1388" s="344" t="str">
        <f>UPPER(D1388)</f>
        <v>APLICAÇÃO MANUAL DE PINTURA COM TINTA LÁTEX ACRÍLICA EM PAREDES, DUAS DEMÃOS. AF_06/2014</v>
      </c>
    </row>
    <row r="1389" spans="1:19">
      <c r="A1389" s="55"/>
      <c r="B1389" s="65"/>
      <c r="C1389" s="55"/>
      <c r="D1389" s="65"/>
      <c r="E1389" s="18"/>
      <c r="F1389" s="19"/>
      <c r="G1389" s="313"/>
      <c r="H1389" s="19"/>
      <c r="I1389" s="19"/>
      <c r="J1389" s="19"/>
      <c r="K1389" s="65"/>
      <c r="L1389" s="474"/>
      <c r="M1389" s="471"/>
      <c r="N1389" s="405"/>
      <c r="O1389" s="541"/>
      <c r="P1389" s="405"/>
      <c r="Q1389" s="405"/>
    </row>
    <row r="1390" spans="1:19">
      <c r="A1390" s="55"/>
      <c r="B1390" s="65"/>
      <c r="C1390" s="55"/>
      <c r="D1390" s="169" t="s">
        <v>76</v>
      </c>
      <c r="E1390" s="18"/>
      <c r="F1390" s="19"/>
      <c r="G1390" s="313"/>
      <c r="H1390" s="19"/>
      <c r="I1390" s="19"/>
      <c r="J1390" s="19"/>
      <c r="K1390" s="383"/>
      <c r="L1390" s="474"/>
      <c r="M1390" s="471"/>
      <c r="N1390" s="405"/>
      <c r="O1390" s="541"/>
      <c r="P1390" s="405"/>
      <c r="Q1390" s="405"/>
      <c r="S1390" s="344" t="str">
        <f>UPPER(D1390)</f>
        <v/>
      </c>
    </row>
    <row r="1391" spans="1:19">
      <c r="A1391" s="59">
        <v>7</v>
      </c>
      <c r="B1391" s="65"/>
      <c r="C1391" s="59"/>
      <c r="D1391" s="169" t="s">
        <v>2109</v>
      </c>
      <c r="E1391" s="18"/>
      <c r="F1391" s="36"/>
      <c r="G1391" s="19"/>
      <c r="H1391" s="19"/>
      <c r="I1391" s="19"/>
      <c r="J1391" s="19"/>
      <c r="K1391" s="383"/>
      <c r="L1391" s="474"/>
      <c r="M1391" s="471"/>
      <c r="N1391" s="405"/>
      <c r="O1391" s="541"/>
      <c r="P1391" s="405"/>
      <c r="Q1391" s="405"/>
      <c r="S1391" s="344" t="str">
        <f>UPPER(D1391)</f>
        <v>MONTAGEM DE MATERIAIS E EQUIPAMENTOS HIDRÁULICOS, HIDROMECÂNICOS E DIVERSOS</v>
      </c>
    </row>
    <row r="1392" spans="1:19" s="344" customFormat="1" ht="25.5">
      <c r="A1392" s="55" t="s">
        <v>109</v>
      </c>
      <c r="B1392" s="87" t="s">
        <v>1485</v>
      </c>
      <c r="C1392" s="55"/>
      <c r="D1392" s="63" t="s">
        <v>2268</v>
      </c>
      <c r="E1392" s="18" t="s">
        <v>2339</v>
      </c>
      <c r="F1392" s="36">
        <v>1</v>
      </c>
      <c r="G1392" s="36">
        <v>14141.279999999999</v>
      </c>
      <c r="H1392" s="9">
        <f t="shared" ref="H1392" si="170">G1392*$P$7</f>
        <v>16337.420783999998</v>
      </c>
      <c r="I1392" s="19">
        <v>26.44</v>
      </c>
      <c r="J1392" s="19">
        <f>ROUND(H1392*(I1392/100+1),2)</f>
        <v>20657.03</v>
      </c>
      <c r="K1392" s="383">
        <v>0</v>
      </c>
      <c r="L1392" s="474">
        <f>F1392-K1392</f>
        <v>1</v>
      </c>
      <c r="M1392" s="471">
        <f t="shared" si="166"/>
        <v>20657.03</v>
      </c>
      <c r="N1392" s="405"/>
      <c r="O1392" s="541"/>
      <c r="P1392" s="405"/>
      <c r="Q1392" s="405"/>
      <c r="S1392" s="344" t="str">
        <f>UPPER(D1392)</f>
        <v>MONTAGEM HIDRÁULICA E HIDROMECÂNICA DE EQUIPAMENTOS, VÁLVULAS, TUBOS, PEÇAS E ACESSÓRIOS DA LISTA DE MATERIAL DA UNIDADE DE DESIDRATAÇÃO DE LODO.</v>
      </c>
    </row>
    <row r="1393" spans="1:37">
      <c r="A1393" s="55"/>
      <c r="B1393" s="79"/>
      <c r="C1393" s="55"/>
      <c r="D1393" s="65"/>
      <c r="E1393" s="18"/>
      <c r="F1393" s="36"/>
      <c r="G1393" s="313"/>
      <c r="H1393" s="19"/>
      <c r="I1393" s="19"/>
      <c r="J1393" s="19"/>
      <c r="K1393" s="65"/>
      <c r="L1393" s="474"/>
      <c r="M1393" s="472"/>
      <c r="N1393" s="405"/>
      <c r="O1393" s="541"/>
      <c r="P1393" s="405"/>
      <c r="Q1393" s="405"/>
    </row>
    <row r="1394" spans="1:37" s="299" customFormat="1">
      <c r="A1394" s="297"/>
      <c r="B1394" s="298"/>
      <c r="C1394" s="298"/>
      <c r="D1394" s="341"/>
      <c r="E1394" s="297"/>
      <c r="F1394" s="298"/>
      <c r="G1394" s="301"/>
      <c r="H1394" s="338"/>
      <c r="I1394" s="298"/>
      <c r="J1394" s="298"/>
      <c r="K1394" s="341"/>
      <c r="L1394" s="474"/>
      <c r="M1394" s="471"/>
      <c r="N1394" s="405"/>
      <c r="O1394" s="541"/>
      <c r="P1394" s="405"/>
      <c r="Q1394" s="405"/>
      <c r="R1394" s="388"/>
      <c r="S1394" s="344" t="str">
        <f>UPPER(D1394)</f>
        <v/>
      </c>
      <c r="T1394" s="388"/>
      <c r="U1394" s="388"/>
      <c r="V1394" s="388"/>
      <c r="W1394" s="388"/>
      <c r="X1394" s="388"/>
      <c r="Y1394" s="388"/>
      <c r="Z1394" s="388"/>
      <c r="AA1394" s="388"/>
      <c r="AB1394" s="388"/>
      <c r="AC1394" s="388"/>
      <c r="AD1394" s="388"/>
      <c r="AE1394" s="388"/>
      <c r="AF1394" s="388"/>
      <c r="AG1394" s="388"/>
      <c r="AH1394" s="388"/>
      <c r="AI1394" s="388"/>
      <c r="AJ1394" s="388"/>
      <c r="AK1394" s="388"/>
    </row>
    <row r="1395" spans="1:37" s="299" customFormat="1">
      <c r="A1395" s="297"/>
      <c r="B1395" s="298"/>
      <c r="C1395" s="298"/>
      <c r="D1395" s="511" t="s">
        <v>2372</v>
      </c>
      <c r="E1395" s="297"/>
      <c r="F1395" s="298"/>
      <c r="G1395" s="301"/>
      <c r="H1395" s="338"/>
      <c r="I1395" s="298"/>
      <c r="J1395" s="298"/>
      <c r="K1395" s="511"/>
      <c r="L1395" s="508"/>
      <c r="M1395" s="505">
        <f>SUM(M1336:M1393)</f>
        <v>59820.029999999992</v>
      </c>
      <c r="N1395" s="405"/>
      <c r="O1395" s="541"/>
      <c r="P1395" s="405"/>
      <c r="Q1395" s="405"/>
      <c r="R1395" s="388"/>
      <c r="S1395" s="344"/>
      <c r="T1395" s="388"/>
      <c r="U1395" s="388"/>
      <c r="V1395" s="388"/>
      <c r="W1395" s="388"/>
      <c r="X1395" s="388"/>
      <c r="Y1395" s="388"/>
      <c r="Z1395" s="388"/>
      <c r="AA1395" s="388"/>
      <c r="AB1395" s="388"/>
      <c r="AC1395" s="388"/>
      <c r="AD1395" s="388"/>
      <c r="AE1395" s="388"/>
      <c r="AF1395" s="388"/>
      <c r="AG1395" s="388"/>
      <c r="AH1395" s="388"/>
      <c r="AI1395" s="388"/>
      <c r="AJ1395" s="388"/>
      <c r="AK1395" s="388"/>
    </row>
    <row r="1396" spans="1:37" s="299" customFormat="1">
      <c r="A1396" s="297"/>
      <c r="B1396" s="298"/>
      <c r="C1396" s="298"/>
      <c r="D1396" s="442" t="s">
        <v>76</v>
      </c>
      <c r="E1396" s="297" t="s">
        <v>76</v>
      </c>
      <c r="F1396" s="298"/>
      <c r="G1396" s="301"/>
      <c r="H1396" s="338"/>
      <c r="I1396" s="298"/>
      <c r="J1396" s="298"/>
      <c r="K1396" s="341"/>
      <c r="L1396" s="474"/>
      <c r="M1396" s="471"/>
      <c r="N1396" s="405"/>
      <c r="O1396" s="541"/>
      <c r="P1396" s="405"/>
      <c r="Q1396" s="405"/>
      <c r="R1396" s="388"/>
      <c r="S1396" s="344" t="str">
        <f t="shared" ref="S1396:S1410" si="171">UPPER(D1396)</f>
        <v/>
      </c>
      <c r="T1396" s="388"/>
      <c r="U1396" s="388"/>
      <c r="V1396" s="388"/>
      <c r="W1396" s="388"/>
      <c r="X1396" s="388"/>
      <c r="Y1396" s="388"/>
      <c r="Z1396" s="388"/>
      <c r="AA1396" s="388"/>
      <c r="AB1396" s="388"/>
      <c r="AC1396" s="388"/>
      <c r="AD1396" s="388"/>
      <c r="AE1396" s="388"/>
      <c r="AF1396" s="388"/>
      <c r="AG1396" s="388"/>
      <c r="AH1396" s="388"/>
      <c r="AI1396" s="388"/>
      <c r="AJ1396" s="388"/>
      <c r="AK1396" s="388"/>
    </row>
    <row r="1397" spans="1:37" s="450" customFormat="1">
      <c r="A1397" s="445" t="s">
        <v>39</v>
      </c>
      <c r="B1397" s="446"/>
      <c r="C1397" s="447"/>
      <c r="D1397" s="448" t="s">
        <v>1976</v>
      </c>
      <c r="E1397" s="453" t="s">
        <v>76</v>
      </c>
      <c r="F1397" s="446"/>
      <c r="G1397" s="446"/>
      <c r="H1397" s="780"/>
      <c r="I1397" s="446"/>
      <c r="J1397" s="446"/>
      <c r="K1397" s="473"/>
      <c r="L1397" s="478"/>
      <c r="M1397" s="479"/>
      <c r="N1397" s="454"/>
      <c r="O1397" s="541"/>
      <c r="P1397" s="454"/>
      <c r="Q1397" s="454"/>
      <c r="S1397" s="450" t="str">
        <f t="shared" si="171"/>
        <v>MEZANINO DA CASA DE DESIDRATAÇÃO DO LODO</v>
      </c>
    </row>
    <row r="1398" spans="1:37" s="344" customFormat="1">
      <c r="A1398" s="59">
        <v>1</v>
      </c>
      <c r="B1398" s="38"/>
      <c r="C1398" s="59"/>
      <c r="D1398" s="403" t="s">
        <v>2038</v>
      </c>
      <c r="E1398" s="28" t="s">
        <v>76</v>
      </c>
      <c r="F1398" s="36"/>
      <c r="G1398" s="19"/>
      <c r="H1398" s="19"/>
      <c r="I1398" s="19"/>
      <c r="J1398" s="19"/>
      <c r="K1398" s="383"/>
      <c r="L1398" s="474"/>
      <c r="M1398" s="471"/>
      <c r="N1398" s="405"/>
      <c r="O1398" s="541"/>
      <c r="P1398" s="405"/>
      <c r="Q1398" s="405"/>
      <c r="S1398" s="344" t="str">
        <f t="shared" si="171"/>
        <v>MOVIMENTO DE TERRA</v>
      </c>
    </row>
    <row r="1399" spans="1:37" s="414" customFormat="1">
      <c r="A1399" s="650" t="s">
        <v>20</v>
      </c>
      <c r="B1399" s="425"/>
      <c r="C1399" s="650"/>
      <c r="D1399" s="660" t="s">
        <v>2263</v>
      </c>
      <c r="E1399" s="640" t="s">
        <v>76</v>
      </c>
      <c r="F1399" s="623"/>
      <c r="G1399" s="423"/>
      <c r="H1399" s="423"/>
      <c r="I1399" s="423"/>
      <c r="J1399" s="423"/>
      <c r="K1399" s="498"/>
      <c r="L1399" s="474"/>
      <c r="M1399" s="471"/>
      <c r="N1399" s="419"/>
      <c r="O1399" s="541"/>
      <c r="P1399" s="419"/>
      <c r="Q1399" s="419"/>
      <c r="S1399" s="414" t="str">
        <f t="shared" si="171"/>
        <v>ESCAVAÇÃO DE CAVAS</v>
      </c>
    </row>
    <row r="1400" spans="1:37" s="414" customFormat="1">
      <c r="A1400" s="650" t="s">
        <v>153</v>
      </c>
      <c r="B1400" s="425"/>
      <c r="C1400" s="650"/>
      <c r="D1400" s="660" t="s">
        <v>2042</v>
      </c>
      <c r="E1400" s="640" t="s">
        <v>76</v>
      </c>
      <c r="F1400" s="623"/>
      <c r="G1400" s="423"/>
      <c r="H1400" s="423"/>
      <c r="I1400" s="423"/>
      <c r="J1400" s="423"/>
      <c r="K1400" s="498"/>
      <c r="L1400" s="474"/>
      <c r="M1400" s="471"/>
      <c r="N1400" s="419"/>
      <c r="O1400" s="541"/>
      <c r="P1400" s="419"/>
      <c r="Q1400" s="419"/>
      <c r="S1400" s="414" t="str">
        <f t="shared" si="171"/>
        <v>ESCAVAÇÃO MECÂNICA DE CAVAS</v>
      </c>
    </row>
    <row r="1401" spans="1:37" s="344" customFormat="1" ht="41.25" customHeight="1">
      <c r="A1401" s="55" t="s">
        <v>152</v>
      </c>
      <c r="B1401" s="49">
        <f>'[3]Plan Tron'!B150</f>
        <v>90082</v>
      </c>
      <c r="C1401" s="49" t="str">
        <f>'[3]Plan Tron'!C150</f>
        <v>SINAPI</v>
      </c>
      <c r="D1401" s="614" t="str">
        <f>'[3]Plan Tron'!D150</f>
        <v>ESCAVAÇÃO MECANIZADA DE VALA COM PROF. ATÉ 1,5 M (MÉDIA ENTRE MONTANTE E JUSANTE/UMA COMPOSIÇÃO POR TRECHO), COM ESCAVADEIRA HIDRÁULICA (0,8M3/111 HP), LARG. DE 1,5 M A 2,5 M, EM SOLO DE 1A CATEGORIA, EM LOCAIS COM ALTO NÍVEL DE INTERFERÊNCIA. AF_01/2015</v>
      </c>
      <c r="E1401" s="49" t="str">
        <f>'[3]Plan Tron'!E150</f>
        <v>M³</v>
      </c>
      <c r="F1401" s="36">
        <v>157.91999999999999</v>
      </c>
      <c r="G1401" s="161">
        <v>10.220000000000001</v>
      </c>
      <c r="H1401" s="161">
        <f>'[3]Plan Tron'!F150</f>
        <v>12.82</v>
      </c>
      <c r="I1401" s="19">
        <v>26.44</v>
      </c>
      <c r="J1401" s="19">
        <f>ROUND(H1401*(I1401/100+1),2)</f>
        <v>16.21</v>
      </c>
      <c r="K1401" s="383">
        <v>0</v>
      </c>
      <c r="L1401" s="474">
        <f>F1401-K1401</f>
        <v>157.91999999999999</v>
      </c>
      <c r="M1401" s="471">
        <f t="shared" ref="M1401:M1448" si="172">ROUND(L1401*J1401,2)</f>
        <v>2559.88</v>
      </c>
      <c r="N1401" s="405"/>
      <c r="O1401" s="541"/>
      <c r="P1401" s="405"/>
      <c r="Q1401" s="405"/>
      <c r="S1401" s="344" t="str">
        <f t="shared" si="171"/>
        <v>ESCAVAÇÃO MECANIZADA DE VALA COM PROF. ATÉ 1,5 M (MÉDIA ENTRE MONTANTE E JUSANTE/UMA COMPOSIÇÃO POR TRECHO), COM ESCAVADEIRA HIDRÁULICA (0,8M3/111 HP), LARG. DE 1,5 M A 2,5 M, EM SOLO DE 1A CATEGORIA, EM LOCAIS COM ALTO NÍVEL DE INTERFERÊNCIA. AF_01/2015</v>
      </c>
    </row>
    <row r="1402" spans="1:37" s="414" customFormat="1">
      <c r="A1402" s="650" t="s">
        <v>19</v>
      </c>
      <c r="B1402" s="425"/>
      <c r="C1402" s="410"/>
      <c r="D1402" s="660" t="s">
        <v>2111</v>
      </c>
      <c r="E1402" s="640"/>
      <c r="F1402" s="623"/>
      <c r="G1402" s="423"/>
      <c r="H1402" s="423"/>
      <c r="I1402" s="423"/>
      <c r="J1402" s="423"/>
      <c r="K1402" s="498"/>
      <c r="L1402" s="474"/>
      <c r="M1402" s="471"/>
      <c r="N1402" s="419"/>
      <c r="O1402" s="541"/>
      <c r="P1402" s="419"/>
      <c r="Q1402" s="419"/>
      <c r="S1402" s="414" t="str">
        <f t="shared" si="171"/>
        <v>ATERRO / REATERRO DE VALAS COM OU S/ COMPACTAÇÃO.</v>
      </c>
    </row>
    <row r="1403" spans="1:37" s="414" customFormat="1">
      <c r="A1403" s="650" t="s">
        <v>147</v>
      </c>
      <c r="B1403" s="425"/>
      <c r="C1403" s="410"/>
      <c r="D1403" s="660" t="s">
        <v>2045</v>
      </c>
      <c r="E1403" s="640"/>
      <c r="F1403" s="623"/>
      <c r="G1403" s="423"/>
      <c r="H1403" s="423"/>
      <c r="I1403" s="423"/>
      <c r="J1403" s="423"/>
      <c r="K1403" s="498"/>
      <c r="L1403" s="474"/>
      <c r="M1403" s="471"/>
      <c r="N1403" s="419"/>
      <c r="O1403" s="541"/>
      <c r="P1403" s="419"/>
      <c r="Q1403" s="419"/>
      <c r="S1403" s="414" t="str">
        <f t="shared" si="171"/>
        <v>REATERRO DE VALAS</v>
      </c>
    </row>
    <row r="1404" spans="1:37" s="344" customFormat="1" ht="25.5">
      <c r="A1404" s="55" t="s">
        <v>146</v>
      </c>
      <c r="B1404" s="49" t="str">
        <f>'[3]Plan Tron'!B64</f>
        <v xml:space="preserve">74005/002 </v>
      </c>
      <c r="C1404" s="49" t="str">
        <f>'[3]Plan Tron'!C64</f>
        <v>SINAPI</v>
      </c>
      <c r="D1404" s="614" t="str">
        <f>'[3]Plan Tron'!D64</f>
        <v>COMPACTACAO MECANICA C/ CONTROLE DO GC&gt;=95% DO PN (AREAS) (C/MONIVELADORA 140 HP E ROLO COMPRESSOR VIBRATORIO 80 HP)</v>
      </c>
      <c r="E1404" s="49" t="str">
        <f>'[3]Plan Tron'!E64</f>
        <v>M³</v>
      </c>
      <c r="F1404" s="36">
        <v>60.54</v>
      </c>
      <c r="G1404" s="19">
        <v>9.2899999999999991</v>
      </c>
      <c r="H1404" s="19">
        <f>'[3]Plan Tron'!F64</f>
        <v>4.83</v>
      </c>
      <c r="I1404" s="19">
        <v>26.44</v>
      </c>
      <c r="J1404" s="19">
        <f>ROUND(H1404*(I1404/100+1),2)</f>
        <v>6.11</v>
      </c>
      <c r="K1404" s="383">
        <v>0</v>
      </c>
      <c r="L1404" s="474">
        <f>F1404-K1404</f>
        <v>60.54</v>
      </c>
      <c r="M1404" s="471">
        <f t="shared" si="172"/>
        <v>369.9</v>
      </c>
      <c r="N1404" s="405"/>
      <c r="O1404" s="541"/>
      <c r="P1404" s="405"/>
      <c r="Q1404" s="405"/>
      <c r="S1404" s="344" t="str">
        <f t="shared" si="171"/>
        <v>COMPACTACAO MECANICA C/ CONTROLE DO GC&gt;=95% DO PN (AREAS) (C/MONIVELADORA 140 HP E ROLO COMPRESSOR VIBRATORIO 80 HP)</v>
      </c>
    </row>
    <row r="1405" spans="1:37" s="344" customFormat="1" ht="25.5">
      <c r="A1405" s="55" t="s">
        <v>1197</v>
      </c>
      <c r="B1405" s="49" t="str">
        <f>'[3]Plan Tron'!B64</f>
        <v xml:space="preserve">74005/002 </v>
      </c>
      <c r="C1405" s="49" t="str">
        <f>'[3]Plan Tron'!C64</f>
        <v>SINAPI</v>
      </c>
      <c r="D1405" s="614" t="str">
        <f>'[3]Plan Tron'!D64</f>
        <v>COMPACTACAO MECANICA C/ CONTROLE DO GC&gt;=95% DO PN (AREAS) (C/MONIVELADORA 140 HP E ROLO COMPRESSOR VIBRATORIO 80 HP)</v>
      </c>
      <c r="E1405" s="49" t="str">
        <f>'[3]Plan Tron'!E64</f>
        <v>M³</v>
      </c>
      <c r="F1405" s="36">
        <v>93.98</v>
      </c>
      <c r="G1405" s="19">
        <v>13.65</v>
      </c>
      <c r="H1405" s="19">
        <f>'[3]Plan Tron'!F64</f>
        <v>4.83</v>
      </c>
      <c r="I1405" s="19">
        <v>26.44</v>
      </c>
      <c r="J1405" s="19">
        <f>ROUND(H1405*(I1405/100+1),2)</f>
        <v>6.11</v>
      </c>
      <c r="K1405" s="383">
        <v>0</v>
      </c>
      <c r="L1405" s="474">
        <f>F1405-K1405</f>
        <v>93.98</v>
      </c>
      <c r="M1405" s="471">
        <f t="shared" si="172"/>
        <v>574.22</v>
      </c>
      <c r="N1405" s="405"/>
      <c r="O1405" s="541"/>
      <c r="P1405" s="405"/>
      <c r="Q1405" s="405"/>
      <c r="S1405" s="344" t="str">
        <f t="shared" si="171"/>
        <v>COMPACTACAO MECANICA C/ CONTROLE DO GC&gt;=95% DO PN (AREAS) (C/MONIVELADORA 140 HP E ROLO COMPRESSOR VIBRATORIO 80 HP)</v>
      </c>
    </row>
    <row r="1406" spans="1:37" s="414" customFormat="1">
      <c r="A1406" s="650" t="s">
        <v>18</v>
      </c>
      <c r="B1406" s="425"/>
      <c r="C1406" s="410"/>
      <c r="D1406" s="660" t="s">
        <v>2046</v>
      </c>
      <c r="E1406" s="640"/>
      <c r="F1406" s="623"/>
      <c r="G1406" s="423"/>
      <c r="H1406" s="423"/>
      <c r="I1406" s="423"/>
      <c r="J1406" s="19"/>
      <c r="K1406" s="498"/>
      <c r="L1406" s="474"/>
      <c r="M1406" s="471"/>
      <c r="N1406" s="419"/>
      <c r="O1406" s="541"/>
      <c r="P1406" s="419"/>
      <c r="Q1406" s="419"/>
      <c r="S1406" s="414" t="str">
        <f t="shared" si="171"/>
        <v>CARGA, DESCARGA E/OU TRANSPORTE DE MATERIAIS</v>
      </c>
    </row>
    <row r="1407" spans="1:37" s="344" customFormat="1">
      <c r="A1407" s="55" t="s">
        <v>201</v>
      </c>
      <c r="B1407" s="49">
        <f>'[3]Plan Tron'!B13</f>
        <v>72885</v>
      </c>
      <c r="C1407" s="49" t="str">
        <f>'[3]Plan Tron'!C13</f>
        <v>SINAPI</v>
      </c>
      <c r="D1407" s="614" t="str">
        <f>'[3]Plan Tron'!D13</f>
        <v>TRANSPORTE COMERCIAL COM CAMINHAO BASCULANTE 6 M3, RODOVIA EM LEITO NATURAL</v>
      </c>
      <c r="E1407" s="49" t="str">
        <f>'[3]Plan Tron'!E13</f>
        <v>M³ X KM</v>
      </c>
      <c r="F1407" s="36">
        <v>956.76</v>
      </c>
      <c r="G1407" s="19">
        <v>1.03</v>
      </c>
      <c r="H1407" s="19">
        <f>'[3]Plan Tron'!F13</f>
        <v>1.37</v>
      </c>
      <c r="I1407" s="19">
        <v>26.44</v>
      </c>
      <c r="J1407" s="19">
        <f t="shared" ref="J1407:J1410" si="173">ROUND(H1407*(I1407/100+1),2)</f>
        <v>1.73</v>
      </c>
      <c r="K1407" s="383">
        <v>0</v>
      </c>
      <c r="L1407" s="474">
        <f>F1407-K1407</f>
        <v>956.76</v>
      </c>
      <c r="M1407" s="471">
        <f t="shared" si="172"/>
        <v>1655.19</v>
      </c>
      <c r="N1407" s="405"/>
      <c r="O1407" s="541"/>
      <c r="P1407" s="405"/>
      <c r="Q1407" s="405"/>
      <c r="S1407" s="344" t="str">
        <f t="shared" si="171"/>
        <v>TRANSPORTE COMERCIAL COM CAMINHAO BASCULANTE 6 M3, RODOVIA EM LEITO NATURAL</v>
      </c>
    </row>
    <row r="1408" spans="1:37" s="344" customFormat="1" ht="25.5">
      <c r="A1408" s="55" t="s">
        <v>198</v>
      </c>
      <c r="B1408" s="49">
        <f>'[3]Plan Tron'!B14</f>
        <v>72888</v>
      </c>
      <c r="C1408" s="49" t="str">
        <f>'[3]Plan Tron'!C14</f>
        <v>SINAPI</v>
      </c>
      <c r="D1408" s="614" t="str">
        <f>'[3]Plan Tron'!D14</f>
        <v>CARGA, MANOBRAS E DESCARGA DE AREIA, BRITA, PEDRA DE MAO E SOLOS COM CAMINHAO BASCULANTE 6 M3 (DESCARGA LIVRE)</v>
      </c>
      <c r="E1408" s="49" t="str">
        <f>'[3]Plan Tron'!E14</f>
        <v>M³</v>
      </c>
      <c r="F1408" s="51">
        <v>97.37</v>
      </c>
      <c r="G1408" s="19">
        <v>0.81</v>
      </c>
      <c r="H1408" s="19">
        <f>'[3]Plan Tron'!F14</f>
        <v>0.96</v>
      </c>
      <c r="I1408" s="19">
        <v>26.44</v>
      </c>
      <c r="J1408" s="19">
        <f t="shared" si="173"/>
        <v>1.21</v>
      </c>
      <c r="K1408" s="383">
        <v>0</v>
      </c>
      <c r="L1408" s="474">
        <f>F1408-K1408</f>
        <v>97.37</v>
      </c>
      <c r="M1408" s="471">
        <f t="shared" si="172"/>
        <v>117.82</v>
      </c>
      <c r="N1408" s="405"/>
      <c r="O1408" s="541"/>
      <c r="P1408" s="405"/>
      <c r="Q1408" s="405"/>
      <c r="S1408" s="344" t="str">
        <f t="shared" si="171"/>
        <v>CARGA, MANOBRAS E DESCARGA DE AREIA, BRITA, PEDRA DE MAO E SOLOS COM CAMINHAO BASCULANTE 6 M3 (DESCARGA LIVRE)</v>
      </c>
    </row>
    <row r="1409" spans="1:19" s="414" customFormat="1">
      <c r="A1409" s="650" t="s">
        <v>17</v>
      </c>
      <c r="B1409" s="425"/>
      <c r="C1409" s="410"/>
      <c r="D1409" s="660" t="s">
        <v>2269</v>
      </c>
      <c r="E1409" s="640"/>
      <c r="F1409" s="430"/>
      <c r="G1409" s="423"/>
      <c r="H1409" s="423"/>
      <c r="I1409" s="423"/>
      <c r="J1409" s="19"/>
      <c r="K1409" s="498"/>
      <c r="L1409" s="474"/>
      <c r="M1409" s="471"/>
      <c r="N1409" s="419"/>
      <c r="O1409" s="541"/>
      <c r="P1409" s="419"/>
      <c r="Q1409" s="419"/>
      <c r="S1409" s="414" t="str">
        <f t="shared" si="171"/>
        <v>CORTE/ESCAVACAO EM JAZIDAS OU CAMPO ABERTO</v>
      </c>
    </row>
    <row r="1410" spans="1:19" s="344" customFormat="1" ht="25.5">
      <c r="A1410" s="55" t="s">
        <v>195</v>
      </c>
      <c r="B1410" s="49" t="str">
        <f>'[3]Plan Tron'!B6</f>
        <v xml:space="preserve">74151/001 </v>
      </c>
      <c r="C1410" s="49" t="str">
        <f>'[3]Plan Tron'!C6</f>
        <v>SINAPI</v>
      </c>
      <c r="D1410" s="614" t="str">
        <f>'[3]Plan Tron'!D6</f>
        <v>ESCAVACAO E CARGA MATERIAL 1A CATEGORIA, UTILIZANDO TRATOR DE ESTEIRAS DE 110 A 160HP COM LAMINA, PESO OPERACIONAL * 13T E PA CARREGADEIRA COM 170 HP.</v>
      </c>
      <c r="E1410" s="49" t="str">
        <f>'[3]Plan Tron'!E6</f>
        <v>M³</v>
      </c>
      <c r="F1410" s="51">
        <v>93.98</v>
      </c>
      <c r="G1410" s="19">
        <f>G47</f>
        <v>3.35</v>
      </c>
      <c r="H1410" s="19">
        <f>'[3]Plan Tron'!F6</f>
        <v>3.37</v>
      </c>
      <c r="I1410" s="19">
        <v>26.44</v>
      </c>
      <c r="J1410" s="19">
        <f t="shared" si="173"/>
        <v>4.26</v>
      </c>
      <c r="K1410" s="383">
        <v>0</v>
      </c>
      <c r="L1410" s="474">
        <f>F1410-K1410</f>
        <v>93.98</v>
      </c>
      <c r="M1410" s="471">
        <f t="shared" si="172"/>
        <v>400.35</v>
      </c>
      <c r="N1410" s="405"/>
      <c r="O1410" s="541"/>
      <c r="P1410" s="405"/>
      <c r="Q1410" s="405"/>
      <c r="S1410" s="344" t="str">
        <f t="shared" si="171"/>
        <v>ESCAVACAO E CARGA MATERIAL 1A CATEGORIA, UTILIZANDO TRATOR DE ESTEIRAS DE 110 A 160HP COM LAMINA, PESO OPERACIONAL * 13T E PA CARREGADEIRA COM 170 HP.</v>
      </c>
    </row>
    <row r="1411" spans="1:19" s="344" customFormat="1">
      <c r="A1411" s="55"/>
      <c r="B1411" s="65"/>
      <c r="C1411" s="55"/>
      <c r="D1411" s="65"/>
      <c r="E1411" s="18"/>
      <c r="F1411" s="19"/>
      <c r="G1411" s="36"/>
      <c r="H1411" s="36"/>
      <c r="I1411" s="19"/>
      <c r="J1411" s="19"/>
      <c r="K1411" s="65"/>
      <c r="L1411" s="474"/>
      <c r="M1411" s="471"/>
      <c r="N1411" s="405"/>
      <c r="O1411" s="541"/>
      <c r="P1411" s="405"/>
      <c r="Q1411" s="405"/>
    </row>
    <row r="1412" spans="1:19" s="344" customFormat="1">
      <c r="A1412" s="59"/>
      <c r="B1412" s="38"/>
      <c r="C1412" s="59"/>
      <c r="D1412" s="403" t="s">
        <v>76</v>
      </c>
      <c r="E1412" s="28"/>
      <c r="F1412" s="36"/>
      <c r="G1412" s="36"/>
      <c r="H1412" s="36"/>
      <c r="I1412" s="19"/>
      <c r="J1412" s="19"/>
      <c r="K1412" s="383"/>
      <c r="L1412" s="474"/>
      <c r="M1412" s="471"/>
      <c r="N1412" s="405"/>
      <c r="O1412" s="541"/>
      <c r="P1412" s="405"/>
      <c r="Q1412" s="405"/>
      <c r="S1412" s="344" t="str">
        <f t="shared" ref="S1412:S1430" si="174">UPPER(D1412)</f>
        <v/>
      </c>
    </row>
    <row r="1413" spans="1:19" s="344" customFormat="1">
      <c r="A1413" s="59">
        <v>2</v>
      </c>
      <c r="B1413" s="29"/>
      <c r="C1413" s="59"/>
      <c r="D1413" s="169" t="s">
        <v>2054</v>
      </c>
      <c r="E1413" s="18"/>
      <c r="F1413" s="19"/>
      <c r="G1413" s="19"/>
      <c r="H1413" s="19"/>
      <c r="I1413" s="19"/>
      <c r="J1413" s="19"/>
      <c r="K1413" s="383"/>
      <c r="L1413" s="474"/>
      <c r="M1413" s="471"/>
      <c r="N1413" s="405"/>
      <c r="O1413" s="541"/>
      <c r="P1413" s="405"/>
      <c r="Q1413" s="405"/>
      <c r="S1413" s="344" t="str">
        <f t="shared" si="174"/>
        <v>FUNDAÇÕES E ESTRUTURAS</v>
      </c>
    </row>
    <row r="1414" spans="1:19" s="414" customFormat="1">
      <c r="A1414" s="650" t="s">
        <v>9</v>
      </c>
      <c r="B1414" s="425"/>
      <c r="C1414" s="410"/>
      <c r="D1414" s="426" t="s">
        <v>2055</v>
      </c>
      <c r="E1414" s="421"/>
      <c r="F1414" s="423"/>
      <c r="G1414" s="423"/>
      <c r="H1414" s="423"/>
      <c r="I1414" s="423"/>
      <c r="J1414" s="423"/>
      <c r="K1414" s="498"/>
      <c r="L1414" s="474"/>
      <c r="M1414" s="471"/>
      <c r="N1414" s="419"/>
      <c r="O1414" s="541"/>
      <c r="P1414" s="419"/>
      <c r="Q1414" s="419"/>
      <c r="S1414" s="414" t="str">
        <f t="shared" si="174"/>
        <v>LASTROS / FUNDAÇÕES DIRETAS</v>
      </c>
    </row>
    <row r="1415" spans="1:19" s="414" customFormat="1">
      <c r="A1415" s="650" t="s">
        <v>348</v>
      </c>
      <c r="B1415" s="425"/>
      <c r="C1415" s="410"/>
      <c r="D1415" s="426" t="s">
        <v>2056</v>
      </c>
      <c r="E1415" s="640"/>
      <c r="F1415" s="423"/>
      <c r="G1415" s="423"/>
      <c r="H1415" s="423"/>
      <c r="I1415" s="423"/>
      <c r="J1415" s="423"/>
      <c r="K1415" s="498"/>
      <c r="L1415" s="474"/>
      <c r="M1415" s="471"/>
      <c r="N1415" s="419"/>
      <c r="O1415" s="541"/>
      <c r="P1415" s="419"/>
      <c r="Q1415" s="419"/>
      <c r="S1415" s="414" t="str">
        <f t="shared" si="174"/>
        <v>LASTRO DE PEDRA BRITADA E FUNDAÇÕES EM BALDRAME.</v>
      </c>
    </row>
    <row r="1416" spans="1:19" s="344" customFormat="1">
      <c r="A1416" s="55" t="s">
        <v>417</v>
      </c>
      <c r="B1416" s="49">
        <f>'[3]Plan Tron'!B18</f>
        <v>6514</v>
      </c>
      <c r="C1416" s="49" t="str">
        <f>'[3]Plan Tron'!C18</f>
        <v>SINAPI</v>
      </c>
      <c r="D1416" s="612" t="str">
        <f>'[3]Plan Tron'!D18</f>
        <v xml:space="preserve">FORNECIMENTO E LANCAMENTO DE BRITA N. 4 </v>
      </c>
      <c r="E1416" s="49" t="str">
        <f>'[3]Plan Tron'!E18</f>
        <v>M³</v>
      </c>
      <c r="F1416" s="19">
        <v>0.84</v>
      </c>
      <c r="G1416" s="19">
        <f>G78</f>
        <v>74.28</v>
      </c>
      <c r="H1416" s="19">
        <f>'[3]Plan Tron'!F18</f>
        <v>88.38</v>
      </c>
      <c r="I1416" s="19">
        <v>26.44</v>
      </c>
      <c r="J1416" s="19">
        <f>ROUND(H1416*(I1416/100+1),2)</f>
        <v>111.75</v>
      </c>
      <c r="K1416" s="383">
        <v>0</v>
      </c>
      <c r="L1416" s="474">
        <f>F1416-K1416</f>
        <v>0.84</v>
      </c>
      <c r="M1416" s="471">
        <f t="shared" si="172"/>
        <v>93.87</v>
      </c>
      <c r="N1416" s="405"/>
      <c r="O1416" s="541"/>
      <c r="P1416" s="405"/>
      <c r="Q1416" s="405"/>
      <c r="S1416" s="344" t="str">
        <f t="shared" si="174"/>
        <v xml:space="preserve">FORNECIMENTO E LANCAMENTO DE BRITA N. 4 </v>
      </c>
    </row>
    <row r="1417" spans="1:19" s="414" customFormat="1">
      <c r="A1417" s="650" t="s">
        <v>8</v>
      </c>
      <c r="B1417" s="425"/>
      <c r="C1417" s="410"/>
      <c r="D1417" s="426" t="s">
        <v>2058</v>
      </c>
      <c r="E1417" s="421"/>
      <c r="F1417" s="423"/>
      <c r="G1417" s="623"/>
      <c r="H1417" s="623"/>
      <c r="I1417" s="423"/>
      <c r="J1417" s="19"/>
      <c r="K1417" s="498"/>
      <c r="L1417" s="668"/>
      <c r="M1417" s="471"/>
      <c r="N1417" s="419"/>
      <c r="O1417" s="669"/>
      <c r="P1417" s="419"/>
      <c r="Q1417" s="419"/>
      <c r="S1417" s="414" t="str">
        <f t="shared" si="174"/>
        <v>FORMAS / CIMBRAMENTOS / ESCORAMENTOS</v>
      </c>
    </row>
    <row r="1418" spans="1:19" s="344" customFormat="1">
      <c r="A1418" s="55" t="s">
        <v>317</v>
      </c>
      <c r="B1418" s="49">
        <f>'[3]Plan Tron'!B20</f>
        <v>5651</v>
      </c>
      <c r="C1418" s="49" t="str">
        <f>'[3]Plan Tron'!C20</f>
        <v>SINAPI</v>
      </c>
      <c r="D1418" s="612" t="str">
        <f>'[3]Plan Tron'!D20</f>
        <v>FORMA DE MADEIRA COMUM PARA FUNDAÇÕES - REAPROVEITAMENTO 5X.</v>
      </c>
      <c r="E1418" s="49" t="str">
        <f>'[3]Plan Tron'!E20</f>
        <v>M²</v>
      </c>
      <c r="F1418" s="19">
        <v>19.84</v>
      </c>
      <c r="G1418" s="36">
        <v>22.96</v>
      </c>
      <c r="H1418" s="36">
        <f>'[3]Plan Tron'!F20</f>
        <v>29.01</v>
      </c>
      <c r="I1418" s="19">
        <v>26.44</v>
      </c>
      <c r="J1418" s="19">
        <f t="shared" ref="J1418:J1419" si="175">ROUND(H1418*(I1418/100+1),2)</f>
        <v>36.68</v>
      </c>
      <c r="K1418" s="383">
        <v>0</v>
      </c>
      <c r="L1418" s="474">
        <f>F1418-K1418</f>
        <v>19.84</v>
      </c>
      <c r="M1418" s="471">
        <f t="shared" si="172"/>
        <v>727.73</v>
      </c>
      <c r="N1418" s="405"/>
      <c r="O1418" s="541"/>
      <c r="P1418" s="405"/>
      <c r="Q1418" s="405"/>
      <c r="S1418" s="344" t="str">
        <f t="shared" si="174"/>
        <v>FORMA DE MADEIRA COMUM PARA FUNDAÇÕES - REAPROVEITAMENTO 5X.</v>
      </c>
    </row>
    <row r="1419" spans="1:19" s="344" customFormat="1" ht="25.5">
      <c r="A1419" s="55" t="s">
        <v>316</v>
      </c>
      <c r="B1419" s="49" t="str">
        <f>'[3]Plan Tron'!B74</f>
        <v xml:space="preserve">92264 </v>
      </c>
      <c r="C1419" s="49" t="str">
        <f>'[3]Plan Tron'!C74</f>
        <v>SINAPI</v>
      </c>
      <c r="D1419" s="614" t="str">
        <f>'[3]Plan Tron'!D74</f>
        <v>FABRICAÇÃO DE FÔRMA PARA PILARES E ESTRUTURAS SIMILARES, EM CHAPA DE MADEIRA COMPENSADA PLASTIFICADA, E = 18 MM. AF_12/2015</v>
      </c>
      <c r="E1419" s="49" t="str">
        <f>'[3]Plan Tron'!E74</f>
        <v>M²</v>
      </c>
      <c r="F1419" s="19">
        <v>84.37</v>
      </c>
      <c r="G1419" s="36">
        <v>32.619999999999997</v>
      </c>
      <c r="H1419" s="36">
        <f>'[3]Plan Tron'!F74</f>
        <v>99.07</v>
      </c>
      <c r="I1419" s="19">
        <v>26.44</v>
      </c>
      <c r="J1419" s="19">
        <f t="shared" si="175"/>
        <v>125.26</v>
      </c>
      <c r="K1419" s="383">
        <v>0</v>
      </c>
      <c r="L1419" s="474">
        <f>F1419-K1419</f>
        <v>84.37</v>
      </c>
      <c r="M1419" s="471">
        <f t="shared" si="172"/>
        <v>10568.19</v>
      </c>
      <c r="N1419" s="405"/>
      <c r="O1419" s="541"/>
      <c r="P1419" s="405"/>
      <c r="Q1419" s="405"/>
      <c r="S1419" s="344" t="str">
        <f t="shared" si="174"/>
        <v>FABRICAÇÃO DE FÔRMA PARA PILARES E ESTRUTURAS SIMILARES, EM CHAPA DE MADEIRA COMPENSADA PLASTIFICADA, E = 18 MM. AF_12/2015</v>
      </c>
    </row>
    <row r="1420" spans="1:19" s="414" customFormat="1">
      <c r="A1420" s="650" t="s">
        <v>7</v>
      </c>
      <c r="B1420" s="425"/>
      <c r="C1420" s="410"/>
      <c r="D1420" s="426" t="s">
        <v>2059</v>
      </c>
      <c r="E1420" s="421"/>
      <c r="F1420" s="423"/>
      <c r="G1420" s="623"/>
      <c r="H1420" s="623"/>
      <c r="I1420" s="423"/>
      <c r="J1420" s="423"/>
      <c r="K1420" s="498"/>
      <c r="L1420" s="474"/>
      <c r="M1420" s="471"/>
      <c r="N1420" s="419"/>
      <c r="O1420" s="541"/>
      <c r="P1420" s="419"/>
      <c r="Q1420" s="419"/>
      <c r="S1420" s="414" t="str">
        <f t="shared" si="174"/>
        <v>ARMADURAS</v>
      </c>
    </row>
    <row r="1421" spans="1:19" s="414" customFormat="1">
      <c r="A1421" s="650" t="s">
        <v>314</v>
      </c>
      <c r="B1421" s="425"/>
      <c r="C1421" s="410"/>
      <c r="D1421" s="426" t="s">
        <v>2235</v>
      </c>
      <c r="E1421" s="421"/>
      <c r="F1421" s="623"/>
      <c r="G1421" s="423"/>
      <c r="H1421" s="423"/>
      <c r="I1421" s="423"/>
      <c r="J1421" s="423"/>
      <c r="K1421" s="498"/>
      <c r="L1421" s="474"/>
      <c r="M1421" s="471"/>
      <c r="N1421" s="419"/>
      <c r="O1421" s="541"/>
      <c r="P1421" s="419"/>
      <c r="Q1421" s="419"/>
      <c r="S1421" s="414" t="str">
        <f t="shared" si="174"/>
        <v>ARMAÇÃO EM AÇO CA-60 PARA ESTRUTURAS DE CONCRETO.</v>
      </c>
    </row>
    <row r="1422" spans="1:19" s="344" customFormat="1" ht="25.5">
      <c r="A1422" s="55" t="s">
        <v>313</v>
      </c>
      <c r="B1422" s="49">
        <f>'[3]Plan Tron'!B21</f>
        <v>92761</v>
      </c>
      <c r="C1422" s="49" t="str">
        <f>'[3]Plan Tron'!C21</f>
        <v>SINAPI</v>
      </c>
      <c r="D1422" s="614" t="str">
        <f>'[3]Plan Tron'!D21</f>
        <v>ARMAÇÃO DE PILAR OU VIGA DE UMA ESTRUTURA CONVENCIONAL DE CONCRETO ARMADO EM UM EDIFÍCIO DE MÚLTIPLOS PAVIMENTOS UTILIZANDO AÇO CA-50 DE 8.0MM - MONTAGEM. AF_12/2015</v>
      </c>
      <c r="E1422" s="49" t="str">
        <f>'[3]Plan Tron'!E21</f>
        <v>KG</v>
      </c>
      <c r="F1422" s="36">
        <v>128.4</v>
      </c>
      <c r="G1422" s="19">
        <v>6.47</v>
      </c>
      <c r="H1422" s="19">
        <f>'[3]Plan Tron'!F21</f>
        <v>9.44</v>
      </c>
      <c r="I1422" s="19">
        <v>26.44</v>
      </c>
      <c r="J1422" s="19">
        <f>ROUND(H1422*(I1422/100+1),2)</f>
        <v>11.94</v>
      </c>
      <c r="K1422" s="383">
        <v>0</v>
      </c>
      <c r="L1422" s="474">
        <f>F1422-K1422</f>
        <v>128.4</v>
      </c>
      <c r="M1422" s="471">
        <f t="shared" si="172"/>
        <v>1533.1</v>
      </c>
      <c r="N1422" s="405"/>
      <c r="O1422" s="541"/>
      <c r="P1422" s="405"/>
      <c r="Q1422" s="405"/>
      <c r="S1422" s="344" t="str">
        <f t="shared" si="174"/>
        <v>ARMAÇÃO DE PILAR OU VIGA DE UMA ESTRUTURA CONVENCIONAL DE CONCRETO ARMADO EM UM EDIFÍCIO DE MÚLTIPLOS PAVIMENTOS UTILIZANDO AÇO CA-50 DE 8.0MM - MONTAGEM. AF_12/2015</v>
      </c>
    </row>
    <row r="1423" spans="1:19" s="414" customFormat="1">
      <c r="A1423" s="650" t="s">
        <v>347</v>
      </c>
      <c r="B1423" s="425"/>
      <c r="C1423" s="410"/>
      <c r="D1423" s="426" t="s">
        <v>2171</v>
      </c>
      <c r="E1423" s="421"/>
      <c r="F1423" s="623"/>
      <c r="G1423" s="423"/>
      <c r="H1423" s="423"/>
      <c r="I1423" s="423"/>
      <c r="J1423" s="423"/>
      <c r="K1423" s="498"/>
      <c r="L1423" s="474"/>
      <c r="M1423" s="471"/>
      <c r="N1423" s="419"/>
      <c r="O1423" s="541"/>
      <c r="P1423" s="419"/>
      <c r="Q1423" s="419"/>
      <c r="S1423" s="414" t="str">
        <f t="shared" si="174"/>
        <v>ARMAÇÃO EM TELA SOLDADA</v>
      </c>
    </row>
    <row r="1424" spans="1:19" s="344" customFormat="1">
      <c r="A1424" s="55" t="s">
        <v>1273</v>
      </c>
      <c r="B1424" s="49" t="str">
        <f>'[3]Plan Tron'!B106</f>
        <v xml:space="preserve">73994/001 </v>
      </c>
      <c r="C1424" s="49" t="str">
        <f>'[3]Plan Tron'!C106</f>
        <v>SINAPI</v>
      </c>
      <c r="D1424" s="612" t="str">
        <f>'[3]Plan Tron'!D106</f>
        <v>ARMACAO EM TELA DE ACO SOLDADA NERVURADA Q-138, ACO CA-60, 4,2MM, MALHA 10X10CM</v>
      </c>
      <c r="E1424" s="49" t="str">
        <f>'[3]Plan Tron'!E106</f>
        <v>KG</v>
      </c>
      <c r="F1424" s="36">
        <v>352</v>
      </c>
      <c r="G1424" s="19">
        <v>6.1</v>
      </c>
      <c r="H1424" s="19">
        <f>'[3]Plan Tron'!F106</f>
        <v>5.97</v>
      </c>
      <c r="I1424" s="19">
        <v>26.44</v>
      </c>
      <c r="J1424" s="19">
        <f>ROUND(H1424*(I1424/100+1),2)</f>
        <v>7.55</v>
      </c>
      <c r="K1424" s="383">
        <v>0</v>
      </c>
      <c r="L1424" s="474">
        <f>F1424-K1424</f>
        <v>352</v>
      </c>
      <c r="M1424" s="471">
        <f t="shared" si="172"/>
        <v>2657.6</v>
      </c>
      <c r="N1424" s="405"/>
      <c r="O1424" s="541"/>
      <c r="P1424" s="405"/>
      <c r="Q1424" s="405"/>
      <c r="S1424" s="344" t="str">
        <f t="shared" si="174"/>
        <v>ARMACAO EM TELA DE ACO SOLDADA NERVURADA Q-138, ACO CA-60, 4,2MM, MALHA 10X10CM</v>
      </c>
    </row>
    <row r="1425" spans="1:19" s="344" customFormat="1">
      <c r="A1425" s="650" t="s">
        <v>945</v>
      </c>
      <c r="B1425" s="425"/>
      <c r="C1425" s="410" t="s">
        <v>2015</v>
      </c>
      <c r="D1425" s="426" t="s">
        <v>2060</v>
      </c>
      <c r="E1425" s="18"/>
      <c r="F1425" s="36"/>
      <c r="G1425" s="19"/>
      <c r="H1425" s="19"/>
      <c r="I1425" s="19"/>
      <c r="J1425" s="19"/>
      <c r="K1425" s="383"/>
      <c r="L1425" s="474"/>
      <c r="M1425" s="471"/>
      <c r="N1425" s="405"/>
      <c r="O1425" s="541"/>
      <c r="P1425" s="405"/>
      <c r="Q1425" s="405"/>
      <c r="S1425" s="344" t="str">
        <f t="shared" si="174"/>
        <v>ARMAÇÃO EM AÇO CA-50 PARA ESTRUTURAS DE CONCRETO.</v>
      </c>
    </row>
    <row r="1426" spans="1:19" s="344" customFormat="1" ht="25.5">
      <c r="A1426" s="55" t="s">
        <v>1530</v>
      </c>
      <c r="B1426" s="49">
        <f>'[3]Plan Tron'!B90</f>
        <v>92763</v>
      </c>
      <c r="C1426" s="49" t="str">
        <f>'[3]Plan Tron'!C90</f>
        <v>SINAPI</v>
      </c>
      <c r="D1426" s="614" t="str">
        <f>'[3]Plan Tron'!D90</f>
        <v>ARMAÇÃO DE PILAR OU VIGA DE UMA ESTRUTURA CONVENCIONAL DE CONCRETO ARMADO EM UM EDIFÍCIO DE MÚLTIPLOS PAVIMENTOS UTILIZANDO AÇO CA-50 DE 12.5 MM - MONTAGEM. AF_12/2015</v>
      </c>
      <c r="E1426" s="49" t="str">
        <f>'[3]Plan Tron'!E90</f>
        <v>KG</v>
      </c>
      <c r="F1426" s="36">
        <v>430.8</v>
      </c>
      <c r="G1426" s="19">
        <f>G85</f>
        <v>5.9</v>
      </c>
      <c r="H1426" s="19">
        <f>'[3]Plan Tron'!F90</f>
        <v>6.29</v>
      </c>
      <c r="I1426" s="19">
        <v>26.44</v>
      </c>
      <c r="J1426" s="19">
        <f>ROUND(H1426*(I1426/100+1),2)</f>
        <v>7.95</v>
      </c>
      <c r="K1426" s="383">
        <v>0</v>
      </c>
      <c r="L1426" s="474">
        <f>F1426-K1426</f>
        <v>430.8</v>
      </c>
      <c r="M1426" s="471">
        <f t="shared" si="172"/>
        <v>3424.86</v>
      </c>
      <c r="N1426" s="405"/>
      <c r="O1426" s="541"/>
      <c r="P1426" s="405"/>
      <c r="Q1426" s="405"/>
      <c r="S1426" s="344" t="str">
        <f t="shared" si="174"/>
        <v>ARMAÇÃO DE PILAR OU VIGA DE UMA ESTRUTURA CONVENCIONAL DE CONCRETO ARMADO EM UM EDIFÍCIO DE MÚLTIPLOS PAVIMENTOS UTILIZANDO AÇO CA-50 DE 12.5 MM - MONTAGEM. AF_12/2015</v>
      </c>
    </row>
    <row r="1427" spans="1:19" s="414" customFormat="1">
      <c r="A1427" s="650" t="s">
        <v>6</v>
      </c>
      <c r="B1427" s="425"/>
      <c r="C1427" s="410"/>
      <c r="D1427" s="426" t="s">
        <v>2061</v>
      </c>
      <c r="E1427" s="421"/>
      <c r="F1427" s="423"/>
      <c r="G1427" s="623"/>
      <c r="H1427" s="623"/>
      <c r="I1427" s="423"/>
      <c r="J1427" s="423"/>
      <c r="K1427" s="498"/>
      <c r="L1427" s="474"/>
      <c r="M1427" s="471"/>
      <c r="N1427" s="419"/>
      <c r="O1427" s="541"/>
      <c r="P1427" s="419"/>
      <c r="Q1427" s="419"/>
      <c r="S1427" s="414" t="str">
        <f t="shared" si="174"/>
        <v>CONCRETOS</v>
      </c>
    </row>
    <row r="1428" spans="1:19" s="344" customFormat="1">
      <c r="A1428" s="55" t="s">
        <v>311</v>
      </c>
      <c r="B1428" s="49">
        <f>'[3]Plan Tron'!B23</f>
        <v>110404</v>
      </c>
      <c r="C1428" s="49" t="str">
        <f>'[3]Plan Tron'!C23</f>
        <v>CPOS</v>
      </c>
      <c r="D1428" s="612" t="str">
        <f>UPPER('[3]Plan Tron'!D23)</f>
        <v>CONCRETO NÃO ESTRUTURAL EXECUTADO NO LOCAL, MÍNIMO 200 KG CIMENTO / M³</v>
      </c>
      <c r="E1428" s="49" t="str">
        <f>'[3]Plan Tron'!E23</f>
        <v>M³</v>
      </c>
      <c r="F1428" s="19">
        <v>0.76</v>
      </c>
      <c r="G1428" s="19">
        <v>238.25</v>
      </c>
      <c r="H1428" s="19">
        <f>'[3]Plan Tron'!F23</f>
        <v>231.91</v>
      </c>
      <c r="I1428" s="19">
        <v>26.44</v>
      </c>
      <c r="J1428" s="19">
        <f>ROUND(H1428*(I1428/100+1),2)</f>
        <v>293.23</v>
      </c>
      <c r="K1428" s="383">
        <v>0</v>
      </c>
      <c r="L1428" s="474">
        <f>F1428-K1428</f>
        <v>0.76</v>
      </c>
      <c r="M1428" s="471">
        <f t="shared" si="172"/>
        <v>222.85</v>
      </c>
      <c r="N1428" s="405"/>
      <c r="O1428" s="541"/>
      <c r="P1428" s="405"/>
      <c r="Q1428" s="405"/>
      <c r="S1428" s="344" t="str">
        <f t="shared" si="174"/>
        <v>CONCRETO NÃO ESTRUTURAL EXECUTADO NO LOCAL, MÍNIMO 200 KG CIMENTO / M³</v>
      </c>
    </row>
    <row r="1429" spans="1:19" s="414" customFormat="1">
      <c r="A1429" s="650" t="s">
        <v>710</v>
      </c>
      <c r="B1429" s="425"/>
      <c r="C1429" s="410"/>
      <c r="D1429" s="426" t="s">
        <v>2062</v>
      </c>
      <c r="E1429" s="421"/>
      <c r="F1429" s="623"/>
      <c r="G1429" s="423"/>
      <c r="H1429" s="423"/>
      <c r="I1429" s="423"/>
      <c r="J1429" s="423"/>
      <c r="K1429" s="498"/>
      <c r="L1429" s="474"/>
      <c r="M1429" s="471"/>
      <c r="N1429" s="419"/>
      <c r="O1429" s="541"/>
      <c r="P1429" s="419"/>
      <c r="Q1429" s="419"/>
      <c r="S1429" s="414" t="str">
        <f t="shared" si="174"/>
        <v>CONCRETO BOMBEADO</v>
      </c>
    </row>
    <row r="1430" spans="1:19" s="344" customFormat="1">
      <c r="A1430" s="55" t="s">
        <v>944</v>
      </c>
      <c r="B1430" s="49">
        <f>'[3]Plan Tron'!B27</f>
        <v>110132</v>
      </c>
      <c r="C1430" s="49" t="str">
        <f>'[3]Plan Tron'!C27</f>
        <v>CPOS</v>
      </c>
      <c r="D1430" s="612" t="str">
        <f>'[3]Plan Tron'!D27</f>
        <v xml:space="preserve">CONCRETO USINADO, FCK=30MPa - PARA BOMBEAMENTO </v>
      </c>
      <c r="E1430" s="49" t="str">
        <f>'[3]Plan Tron'!E27</f>
        <v>M³</v>
      </c>
      <c r="F1430" s="36">
        <v>10.33</v>
      </c>
      <c r="G1430" s="19">
        <v>336.65</v>
      </c>
      <c r="H1430" s="19">
        <f>'[3]Plan Tron'!F27</f>
        <v>311.94</v>
      </c>
      <c r="I1430" s="19">
        <v>26.44</v>
      </c>
      <c r="J1430" s="19">
        <f>ROUND(H1430*(I1430/100+1),2)</f>
        <v>394.42</v>
      </c>
      <c r="K1430" s="383">
        <v>0</v>
      </c>
      <c r="L1430" s="474">
        <f>F1430-K1430</f>
        <v>10.33</v>
      </c>
      <c r="M1430" s="471">
        <f t="shared" si="172"/>
        <v>4074.36</v>
      </c>
      <c r="N1430" s="405"/>
      <c r="O1430" s="541"/>
      <c r="P1430" s="405"/>
      <c r="Q1430" s="405"/>
      <c r="S1430" s="344" t="str">
        <f t="shared" si="174"/>
        <v xml:space="preserve">CONCRETO USINADO, FCK=30MPA - PARA BOMBEAMENTO </v>
      </c>
    </row>
    <row r="1431" spans="1:19" s="344" customFormat="1">
      <c r="A1431" s="55"/>
      <c r="B1431" s="65"/>
      <c r="C1431" s="55"/>
      <c r="D1431" s="65"/>
      <c r="E1431" s="18"/>
      <c r="F1431" s="19"/>
      <c r="G1431" s="36"/>
      <c r="H1431" s="36"/>
      <c r="I1431" s="19"/>
      <c r="J1431" s="19"/>
      <c r="K1431" s="65"/>
      <c r="L1431" s="474"/>
      <c r="M1431" s="471"/>
      <c r="N1431" s="405"/>
      <c r="O1431" s="541"/>
      <c r="P1431" s="405"/>
      <c r="Q1431" s="405"/>
    </row>
    <row r="1432" spans="1:19" s="344" customFormat="1">
      <c r="A1432" s="59"/>
      <c r="B1432" s="38"/>
      <c r="C1432" s="59"/>
      <c r="D1432" s="403" t="s">
        <v>76</v>
      </c>
      <c r="E1432" s="28"/>
      <c r="F1432" s="36"/>
      <c r="G1432" s="36"/>
      <c r="H1432" s="36"/>
      <c r="I1432" s="19"/>
      <c r="J1432" s="19"/>
      <c r="K1432" s="383"/>
      <c r="L1432" s="474"/>
      <c r="M1432" s="471"/>
      <c r="N1432" s="405"/>
      <c r="O1432" s="541"/>
      <c r="P1432" s="405"/>
      <c r="Q1432" s="405"/>
      <c r="S1432" s="344" t="str">
        <f>UPPER(D1432)</f>
        <v/>
      </c>
    </row>
    <row r="1433" spans="1:19" s="344" customFormat="1">
      <c r="A1433" s="59">
        <v>3</v>
      </c>
      <c r="B1433" s="79"/>
      <c r="C1433" s="59"/>
      <c r="D1433" s="169" t="s">
        <v>2067</v>
      </c>
      <c r="E1433" s="18"/>
      <c r="F1433" s="36"/>
      <c r="G1433" s="19"/>
      <c r="H1433" s="19"/>
      <c r="I1433" s="19"/>
      <c r="J1433" s="19"/>
      <c r="K1433" s="383"/>
      <c r="L1433" s="474"/>
      <c r="M1433" s="471"/>
      <c r="N1433" s="405"/>
      <c r="O1433" s="541"/>
      <c r="P1433" s="405"/>
      <c r="Q1433" s="405"/>
      <c r="S1433" s="344" t="str">
        <f>UPPER(D1433)</f>
        <v>PAREDES / PAINÉIS</v>
      </c>
    </row>
    <row r="1434" spans="1:19" s="414" customFormat="1">
      <c r="A1434" s="650" t="s">
        <v>144</v>
      </c>
      <c r="B1434" s="425"/>
      <c r="C1434" s="410"/>
      <c r="D1434" s="426" t="s">
        <v>2068</v>
      </c>
      <c r="E1434" s="421"/>
      <c r="F1434" s="623"/>
      <c r="G1434" s="423"/>
      <c r="H1434" s="423"/>
      <c r="I1434" s="423"/>
      <c r="J1434" s="423"/>
      <c r="K1434" s="498"/>
      <c r="L1434" s="474"/>
      <c r="M1434" s="471"/>
      <c r="N1434" s="419"/>
      <c r="O1434" s="541"/>
      <c r="P1434" s="419"/>
      <c r="Q1434" s="419"/>
      <c r="S1434" s="414" t="str">
        <f>UPPER(D1434)</f>
        <v>ALVENARIA DE BLOCOS DE CONCRETO</v>
      </c>
    </row>
    <row r="1435" spans="1:19" s="414" customFormat="1">
      <c r="A1435" s="650" t="s">
        <v>143</v>
      </c>
      <c r="B1435" s="611"/>
      <c r="C1435" s="410"/>
      <c r="D1435" s="426" t="s">
        <v>2069</v>
      </c>
      <c r="E1435" s="421"/>
      <c r="F1435" s="623"/>
      <c r="G1435" s="423"/>
      <c r="H1435" s="423"/>
      <c r="I1435" s="423"/>
      <c r="J1435" s="423"/>
      <c r="K1435" s="498"/>
      <c r="L1435" s="474"/>
      <c r="M1435" s="471"/>
      <c r="N1435" s="419"/>
      <c r="O1435" s="541"/>
      <c r="P1435" s="419"/>
      <c r="Q1435" s="419"/>
      <c r="S1435" s="414" t="str">
        <f>UPPER(D1435)</f>
        <v>ALVENARIA DE BLOCO DE CONCRETO</v>
      </c>
    </row>
    <row r="1436" spans="1:19" s="344" customFormat="1">
      <c r="A1436" s="55" t="s">
        <v>343</v>
      </c>
      <c r="B1436" s="49">
        <f>'[3]Plan Tron'!B157</f>
        <v>141123</v>
      </c>
      <c r="C1436" s="49" t="str">
        <f>'[3]Plan Tron'!C157</f>
        <v>CPOS</v>
      </c>
      <c r="D1436" s="612" t="str">
        <f>UPPER('[3]Plan Tron'!D157)</f>
        <v>ALVENARIA DE BLOCO DE CONCRETO ESTRUTURAL, USO REVESTIDO, DE 19 CM</v>
      </c>
      <c r="E1436" s="49" t="str">
        <f>'[3]Plan Tron'!E157</f>
        <v>M²</v>
      </c>
      <c r="F1436" s="36">
        <v>14.7</v>
      </c>
      <c r="G1436" s="19">
        <v>65</v>
      </c>
      <c r="H1436" s="19">
        <f>'[3]Plan Tron'!F157</f>
        <v>63.81</v>
      </c>
      <c r="I1436" s="19">
        <v>26.44</v>
      </c>
      <c r="J1436" s="19">
        <f>ROUND(H1436*(I1436/100+1),2)</f>
        <v>80.680000000000007</v>
      </c>
      <c r="K1436" s="383">
        <v>0</v>
      </c>
      <c r="L1436" s="474">
        <f>F1436-K1436</f>
        <v>14.7</v>
      </c>
      <c r="M1436" s="471">
        <f t="shared" si="172"/>
        <v>1186</v>
      </c>
      <c r="N1436" s="405"/>
      <c r="O1436" s="541"/>
      <c r="P1436" s="405"/>
      <c r="Q1436" s="405"/>
      <c r="S1436" s="344" t="str">
        <f>UPPER(D1436)</f>
        <v>ALVENARIA DE BLOCO DE CONCRETO ESTRUTURAL, USO REVESTIDO, DE 19 CM</v>
      </c>
    </row>
    <row r="1437" spans="1:19" s="344" customFormat="1">
      <c r="A1437" s="55"/>
      <c r="B1437" s="65"/>
      <c r="C1437" s="55"/>
      <c r="D1437" s="65"/>
      <c r="E1437" s="18"/>
      <c r="F1437" s="19"/>
      <c r="G1437" s="19"/>
      <c r="H1437" s="19"/>
      <c r="I1437" s="19"/>
      <c r="J1437" s="19"/>
      <c r="K1437" s="65"/>
      <c r="L1437" s="474"/>
      <c r="M1437" s="471"/>
      <c r="N1437" s="405"/>
      <c r="O1437" s="541"/>
      <c r="P1437" s="405"/>
      <c r="Q1437" s="405"/>
    </row>
    <row r="1438" spans="1:19" s="344" customFormat="1">
      <c r="A1438" s="59"/>
      <c r="B1438" s="38"/>
      <c r="C1438" s="59"/>
      <c r="D1438" s="403" t="s">
        <v>76</v>
      </c>
      <c r="E1438" s="28"/>
      <c r="F1438" s="36"/>
      <c r="G1438" s="36"/>
      <c r="H1438" s="36"/>
      <c r="I1438" s="19"/>
      <c r="J1438" s="19"/>
      <c r="K1438" s="383"/>
      <c r="L1438" s="474"/>
      <c r="M1438" s="471"/>
      <c r="N1438" s="405"/>
      <c r="O1438" s="541"/>
      <c r="P1438" s="405"/>
      <c r="Q1438" s="405"/>
      <c r="S1438" s="344" t="str">
        <f>UPPER(D1438)</f>
        <v/>
      </c>
    </row>
    <row r="1439" spans="1:19" s="344" customFormat="1">
      <c r="A1439" s="45">
        <v>4</v>
      </c>
      <c r="B1439" s="17"/>
      <c r="C1439" s="45"/>
      <c r="D1439" s="53" t="s">
        <v>2237</v>
      </c>
      <c r="E1439" s="7"/>
      <c r="F1439" s="10"/>
      <c r="G1439" s="21"/>
      <c r="H1439" s="21"/>
      <c r="I1439" s="148"/>
      <c r="J1439" s="148"/>
      <c r="K1439" s="383"/>
      <c r="L1439" s="474"/>
      <c r="M1439" s="471"/>
      <c r="N1439" s="405"/>
      <c r="O1439" s="541"/>
      <c r="P1439" s="405"/>
      <c r="Q1439" s="405"/>
      <c r="S1439" s="344" t="str">
        <f>UPPER(D1439)</f>
        <v>IMPERMEABILIZAÇÕES  E  PROTEÇÕES  DIVERSAS</v>
      </c>
    </row>
    <row r="1440" spans="1:19" s="414" customFormat="1">
      <c r="A1440" s="410" t="s">
        <v>411</v>
      </c>
      <c r="B1440" s="425"/>
      <c r="C1440" s="410"/>
      <c r="D1440" s="420" t="s">
        <v>2131</v>
      </c>
      <c r="E1440" s="421"/>
      <c r="F1440" s="659"/>
      <c r="G1440" s="659"/>
      <c r="H1440" s="659"/>
      <c r="I1440" s="413"/>
      <c r="J1440" s="413"/>
      <c r="K1440" s="498"/>
      <c r="L1440" s="474"/>
      <c r="M1440" s="471"/>
      <c r="N1440" s="419"/>
      <c r="O1440" s="541"/>
      <c r="P1440" s="419"/>
      <c r="Q1440" s="419"/>
      <c r="S1440" s="414" t="str">
        <f>UPPER(D1440)</f>
        <v>IMPERMEABILIZAÇÃO BETUMINOSA C/ EMULSÃO ASFÁLTICA E ACRÍLICA.</v>
      </c>
    </row>
    <row r="1441" spans="1:37" s="414" customFormat="1" ht="25.5">
      <c r="A1441" s="410" t="s">
        <v>931</v>
      </c>
      <c r="B1441" s="425"/>
      <c r="C1441" s="410"/>
      <c r="D1441" s="420" t="s">
        <v>2132</v>
      </c>
      <c r="E1441" s="421"/>
      <c r="F1441" s="659"/>
      <c r="G1441" s="659"/>
      <c r="H1441" s="659"/>
      <c r="I1441" s="413"/>
      <c r="J1441" s="413"/>
      <c r="K1441" s="498"/>
      <c r="L1441" s="474"/>
      <c r="M1441" s="471"/>
      <c r="N1441" s="419"/>
      <c r="O1441" s="541"/>
      <c r="P1441" s="419"/>
      <c r="Q1441" s="419"/>
      <c r="S1441" s="414" t="str">
        <f>UPPER(D1441)</f>
        <v>IMPERMEABILIZAÇÃO DE FUNDAÇÕES / BALDRAMES / MUROS DE ARRIMO / ALICERCES / REVESTIMENTOS EM CONTATO C/ SOLO - UTILIZAÇÃO DE TINTA BETUMINOSA TIPO NEUTROLIN / DUAS DEMÃOS.</v>
      </c>
    </row>
    <row r="1442" spans="1:37" s="344" customFormat="1">
      <c r="A1442" s="49" t="s">
        <v>1440</v>
      </c>
      <c r="B1442" s="49" t="str">
        <f>'[3]Plan Tron'!B71</f>
        <v>74106/001</v>
      </c>
      <c r="C1442" s="49" t="str">
        <f>'[3]Plan Tron'!C71</f>
        <v>SINAPI</v>
      </c>
      <c r="D1442" s="612" t="str">
        <f>'[3]Plan Tron'!D71</f>
        <v>IMPERMEABILIZACAO DE ESTRUTURAS ENTERRADAS,COM TINTA ASFALTICA, DUAS DEMÃOS.</v>
      </c>
      <c r="E1442" s="49" t="str">
        <f>'[3]Plan Tron'!E71</f>
        <v>M²</v>
      </c>
      <c r="F1442" s="20">
        <v>19.84</v>
      </c>
      <c r="G1442" s="20">
        <v>6.65</v>
      </c>
      <c r="H1442" s="20">
        <f>'[3]Plan Tron'!F71</f>
        <v>9.2899999999999991</v>
      </c>
      <c r="I1442" s="10">
        <v>26.44</v>
      </c>
      <c r="J1442" s="10">
        <f>ROUND(H1442*(I1442/100+1),2)</f>
        <v>11.75</v>
      </c>
      <c r="K1442" s="383">
        <v>0</v>
      </c>
      <c r="L1442" s="474">
        <f>F1442-K1442</f>
        <v>19.84</v>
      </c>
      <c r="M1442" s="471">
        <f t="shared" si="172"/>
        <v>233.12</v>
      </c>
      <c r="N1442" s="405"/>
      <c r="O1442" s="541"/>
      <c r="P1442" s="405"/>
      <c r="Q1442" s="405"/>
      <c r="S1442" s="344" t="str">
        <f>UPPER(D1442)</f>
        <v>IMPERMEABILIZACAO DE ESTRUTURAS ENTERRADAS,COM TINTA ASFALTICA, DUAS DEMÃOS.</v>
      </c>
    </row>
    <row r="1443" spans="1:37" s="344" customFormat="1">
      <c r="A1443" s="59"/>
      <c r="B1443" s="38"/>
      <c r="C1443" s="59"/>
      <c r="D1443" s="38"/>
      <c r="E1443" s="28"/>
      <c r="F1443" s="36"/>
      <c r="G1443" s="36"/>
      <c r="H1443" s="36"/>
      <c r="I1443" s="19"/>
      <c r="J1443" s="19"/>
      <c r="K1443" s="38"/>
      <c r="L1443" s="474"/>
      <c r="M1443" s="471"/>
      <c r="N1443" s="405"/>
      <c r="O1443" s="541"/>
      <c r="P1443" s="405"/>
      <c r="Q1443" s="405"/>
    </row>
    <row r="1444" spans="1:37" s="344" customFormat="1">
      <c r="A1444" s="59"/>
      <c r="B1444" s="38"/>
      <c r="C1444" s="59"/>
      <c r="D1444" s="403" t="s">
        <v>76</v>
      </c>
      <c r="E1444" s="28"/>
      <c r="F1444" s="36"/>
      <c r="G1444" s="36"/>
      <c r="H1444" s="36"/>
      <c r="I1444" s="19"/>
      <c r="J1444" s="19"/>
      <c r="K1444" s="383"/>
      <c r="L1444" s="474"/>
      <c r="M1444" s="471"/>
      <c r="N1444" s="405"/>
      <c r="O1444" s="541"/>
      <c r="P1444" s="405"/>
      <c r="Q1444" s="405"/>
      <c r="S1444" s="344" t="str">
        <f>UPPER(D1444)</f>
        <v/>
      </c>
    </row>
    <row r="1445" spans="1:37" s="344" customFormat="1">
      <c r="A1445" s="59">
        <v>5</v>
      </c>
      <c r="B1445" s="79"/>
      <c r="C1445" s="59"/>
      <c r="D1445" s="169" t="s">
        <v>2107</v>
      </c>
      <c r="E1445" s="18"/>
      <c r="F1445" s="19"/>
      <c r="G1445" s="19"/>
      <c r="H1445" s="19"/>
      <c r="I1445" s="19"/>
      <c r="J1445" s="19"/>
      <c r="K1445" s="383"/>
      <c r="L1445" s="474"/>
      <c r="M1445" s="471"/>
      <c r="N1445" s="405"/>
      <c r="O1445" s="541"/>
      <c r="P1445" s="405"/>
      <c r="Q1445" s="405"/>
      <c r="S1445" s="344" t="str">
        <f>UPPER(D1445)</f>
        <v>PINTURAS</v>
      </c>
    </row>
    <row r="1446" spans="1:37" s="414" customFormat="1">
      <c r="A1446" s="650" t="s">
        <v>136</v>
      </c>
      <c r="B1446" s="425"/>
      <c r="C1446" s="410"/>
      <c r="D1446" s="426" t="s">
        <v>2108</v>
      </c>
      <c r="E1446" s="421"/>
      <c r="F1446" s="423"/>
      <c r="G1446" s="423"/>
      <c r="H1446" s="423"/>
      <c r="I1446" s="423"/>
      <c r="J1446" s="423"/>
      <c r="K1446" s="498"/>
      <c r="L1446" s="474"/>
      <c r="M1446" s="471"/>
      <c r="N1446" s="419"/>
      <c r="O1446" s="541"/>
      <c r="P1446" s="419"/>
      <c r="Q1446" s="419"/>
      <c r="S1446" s="414" t="str">
        <f>UPPER(D1446)</f>
        <v>PINTURA DE PAREDE</v>
      </c>
    </row>
    <row r="1447" spans="1:37" s="414" customFormat="1">
      <c r="A1447" s="650" t="s">
        <v>135</v>
      </c>
      <c r="B1447" s="425"/>
      <c r="C1447" s="410"/>
      <c r="D1447" s="426" t="s">
        <v>2199</v>
      </c>
      <c r="E1447" s="421"/>
      <c r="F1447" s="423"/>
      <c r="G1447" s="423"/>
      <c r="H1447" s="423"/>
      <c r="I1447" s="423"/>
      <c r="J1447" s="423"/>
      <c r="K1447" s="498"/>
      <c r="L1447" s="474"/>
      <c r="M1447" s="471"/>
      <c r="N1447" s="419"/>
      <c r="O1447" s="541"/>
      <c r="P1447" s="419"/>
      <c r="Q1447" s="419"/>
      <c r="S1447" s="414" t="str">
        <f>UPPER(D1447)</f>
        <v>PINTURA LÁTEX ACRÍLICA EXTERNA / INTERNA S/ SELADOR</v>
      </c>
    </row>
    <row r="1448" spans="1:37" s="344" customFormat="1">
      <c r="A1448" s="55" t="s">
        <v>134</v>
      </c>
      <c r="B1448" s="49" t="str">
        <f>'[3]Plan Tron'!B72</f>
        <v xml:space="preserve">88489 </v>
      </c>
      <c r="C1448" s="49" t="str">
        <f>'[3]Plan Tron'!C72</f>
        <v>SINAPI</v>
      </c>
      <c r="D1448" s="612" t="str">
        <f>'[3]Plan Tron'!D72</f>
        <v>APLICAÇÃO MANUAL DE PINTURA COM TINTA LÁTEX ACRÍLICA EM PAREDES, DUAS DEMÃOS. AF_06/2014</v>
      </c>
      <c r="E1448" s="49" t="str">
        <f>'[3]Plan Tron'!E72</f>
        <v>M²</v>
      </c>
      <c r="F1448" s="19">
        <v>46.17</v>
      </c>
      <c r="G1448" s="19">
        <v>8.39</v>
      </c>
      <c r="H1448" s="19">
        <f>'[3]Plan Tron'!F72</f>
        <v>9.69</v>
      </c>
      <c r="I1448" s="19">
        <v>26.44</v>
      </c>
      <c r="J1448" s="19">
        <f>ROUND(H1448*(I1448/100+1),2)</f>
        <v>12.25</v>
      </c>
      <c r="K1448" s="383">
        <v>0</v>
      </c>
      <c r="L1448" s="474">
        <f>F1448-K1448</f>
        <v>46.17</v>
      </c>
      <c r="M1448" s="471">
        <f t="shared" si="172"/>
        <v>565.58000000000004</v>
      </c>
      <c r="N1448" s="405"/>
      <c r="O1448" s="541"/>
      <c r="P1448" s="405"/>
      <c r="Q1448" s="405"/>
      <c r="S1448" s="344" t="str">
        <f>UPPER(D1448)</f>
        <v>APLICAÇÃO MANUAL DE PINTURA COM TINTA LÁTEX ACRÍLICA EM PAREDES, DUAS DEMÃOS. AF_06/2014</v>
      </c>
    </row>
    <row r="1449" spans="1:37">
      <c r="A1449" s="55"/>
      <c r="B1449" s="65"/>
      <c r="C1449" s="55"/>
      <c r="D1449" s="65"/>
      <c r="E1449" s="18"/>
      <c r="F1449" s="19"/>
      <c r="G1449" s="313"/>
      <c r="H1449" s="19"/>
      <c r="I1449" s="19"/>
      <c r="J1449" s="19"/>
      <c r="K1449" s="65"/>
      <c r="L1449" s="474"/>
      <c r="M1449" s="472"/>
      <c r="N1449" s="405"/>
      <c r="O1449" s="541"/>
      <c r="P1449" s="405"/>
      <c r="Q1449" s="405"/>
    </row>
    <row r="1450" spans="1:37" s="299" customFormat="1">
      <c r="A1450" s="297"/>
      <c r="B1450" s="298"/>
      <c r="C1450" s="298"/>
      <c r="D1450" s="341"/>
      <c r="E1450" s="297"/>
      <c r="F1450" s="298"/>
      <c r="G1450" s="301"/>
      <c r="H1450" s="338"/>
      <c r="I1450" s="298"/>
      <c r="J1450" s="298"/>
      <c r="K1450" s="341"/>
      <c r="L1450" s="474"/>
      <c r="M1450" s="471"/>
      <c r="N1450" s="405"/>
      <c r="O1450" s="541"/>
      <c r="P1450" s="405"/>
      <c r="Q1450" s="405"/>
      <c r="R1450" s="388"/>
      <c r="S1450" s="344" t="str">
        <f>UPPER(D1450)</f>
        <v/>
      </c>
      <c r="T1450" s="388"/>
      <c r="U1450" s="388"/>
      <c r="V1450" s="388"/>
      <c r="W1450" s="388"/>
      <c r="X1450" s="388"/>
      <c r="Y1450" s="388"/>
      <c r="Z1450" s="388"/>
      <c r="AA1450" s="388"/>
      <c r="AB1450" s="388"/>
      <c r="AC1450" s="388"/>
      <c r="AD1450" s="388"/>
      <c r="AE1450" s="388"/>
      <c r="AF1450" s="388"/>
      <c r="AG1450" s="388"/>
      <c r="AH1450" s="388"/>
      <c r="AI1450" s="388"/>
      <c r="AJ1450" s="388"/>
      <c r="AK1450" s="388"/>
    </row>
    <row r="1451" spans="1:37" s="299" customFormat="1">
      <c r="A1451" s="297"/>
      <c r="B1451" s="298"/>
      <c r="C1451" s="298"/>
      <c r="D1451" s="511" t="s">
        <v>2373</v>
      </c>
      <c r="E1451" s="297" t="s">
        <v>76</v>
      </c>
      <c r="F1451" s="298"/>
      <c r="G1451" s="301"/>
      <c r="H1451" s="338"/>
      <c r="I1451" s="298"/>
      <c r="J1451" s="298"/>
      <c r="K1451" s="511"/>
      <c r="L1451" s="508"/>
      <c r="M1451" s="505">
        <f>SUM(M1401:M1449)</f>
        <v>30964.62</v>
      </c>
      <c r="N1451" s="405"/>
      <c r="O1451" s="541"/>
      <c r="P1451" s="405"/>
      <c r="Q1451" s="405"/>
      <c r="R1451" s="388"/>
      <c r="S1451" s="344" t="str">
        <f>UPPER(D1451)</f>
        <v>TOTAL ITEM 24.8</v>
      </c>
      <c r="T1451" s="388"/>
      <c r="U1451" s="388"/>
      <c r="V1451" s="388"/>
      <c r="W1451" s="388"/>
      <c r="X1451" s="388"/>
      <c r="Y1451" s="388"/>
      <c r="Z1451" s="388"/>
      <c r="AA1451" s="388"/>
      <c r="AB1451" s="388"/>
      <c r="AC1451" s="388"/>
      <c r="AD1451" s="388"/>
      <c r="AE1451" s="388"/>
      <c r="AF1451" s="388"/>
      <c r="AG1451" s="388"/>
      <c r="AH1451" s="388"/>
      <c r="AI1451" s="388"/>
      <c r="AJ1451" s="388"/>
      <c r="AK1451" s="388"/>
    </row>
    <row r="1452" spans="1:37" s="299" customFormat="1">
      <c r="A1452" s="297"/>
      <c r="B1452" s="298"/>
      <c r="C1452" s="298"/>
      <c r="D1452" s="442"/>
      <c r="E1452" s="297"/>
      <c r="F1452" s="298"/>
      <c r="G1452" s="301"/>
      <c r="H1452" s="338"/>
      <c r="I1452" s="298"/>
      <c r="J1452" s="298"/>
      <c r="K1452" s="341"/>
      <c r="L1452" s="474"/>
      <c r="M1452" s="471"/>
      <c r="N1452" s="405"/>
      <c r="O1452" s="541"/>
      <c r="P1452" s="405"/>
      <c r="Q1452" s="405"/>
      <c r="R1452" s="388"/>
      <c r="S1452" s="344"/>
      <c r="T1452" s="388"/>
      <c r="U1452" s="388"/>
      <c r="V1452" s="388"/>
      <c r="W1452" s="388"/>
      <c r="X1452" s="388"/>
      <c r="Y1452" s="388"/>
      <c r="Z1452" s="388"/>
      <c r="AA1452" s="388"/>
      <c r="AB1452" s="388"/>
      <c r="AC1452" s="388"/>
      <c r="AD1452" s="388"/>
      <c r="AE1452" s="388"/>
      <c r="AF1452" s="388"/>
      <c r="AG1452" s="388"/>
      <c r="AH1452" s="388"/>
      <c r="AI1452" s="388"/>
      <c r="AJ1452" s="388"/>
      <c r="AK1452" s="388"/>
    </row>
    <row r="1453" spans="1:37" s="450" customFormat="1">
      <c r="A1453" s="445" t="s">
        <v>38</v>
      </c>
      <c r="B1453" s="446"/>
      <c r="C1453" s="447"/>
      <c r="D1453" s="448" t="s">
        <v>2004</v>
      </c>
      <c r="E1453" s="453" t="s">
        <v>76</v>
      </c>
      <c r="F1453" s="446"/>
      <c r="G1453" s="446"/>
      <c r="H1453" s="446"/>
      <c r="I1453" s="446"/>
      <c r="J1453" s="446"/>
      <c r="K1453" s="473"/>
      <c r="L1453" s="478"/>
      <c r="M1453" s="479"/>
      <c r="N1453" s="454"/>
      <c r="O1453" s="541"/>
      <c r="P1453" s="454"/>
      <c r="Q1453" s="454"/>
      <c r="S1453" s="450" t="str">
        <f t="shared" ref="S1453:S1477" si="176">UPPER(D1453)</f>
        <v>INSTALAÇÕES ELÉTRICAS - UNIDADE DE DESIDRATAÇÃO MECANIZADA (CASA DE DESIDRATAÇÃO DE LODO)</v>
      </c>
    </row>
    <row r="1454" spans="1:37" ht="25.5">
      <c r="A1454" s="45"/>
      <c r="B1454" s="57"/>
      <c r="C1454" s="45"/>
      <c r="D1454" s="53" t="s">
        <v>2270</v>
      </c>
      <c r="E1454" s="47" t="s">
        <v>76</v>
      </c>
      <c r="F1454" s="48"/>
      <c r="G1454" s="312"/>
      <c r="H1454" s="9"/>
      <c r="I1454" s="9"/>
      <c r="J1454" s="9"/>
      <c r="K1454" s="383"/>
      <c r="L1454" s="474"/>
      <c r="M1454" s="471"/>
      <c r="N1454" s="405"/>
      <c r="O1454" s="541"/>
      <c r="P1454" s="405"/>
      <c r="Q1454" s="405"/>
      <c r="S1454" s="344" t="str">
        <f t="shared" si="176"/>
        <v>MONTAGEM DE MATERIAIS E EQUIPAMENTOS ELÉTRICOS, DE AUTOMAÇÃO E DIVERSOS - DESIDRATAÇÃO DE LODO</v>
      </c>
    </row>
    <row r="1455" spans="1:37">
      <c r="A1455" s="45">
        <v>1</v>
      </c>
      <c r="B1455" s="57"/>
      <c r="C1455" s="45"/>
      <c r="D1455" s="53" t="s">
        <v>2271</v>
      </c>
      <c r="E1455" s="47" t="s">
        <v>76</v>
      </c>
      <c r="F1455" s="48"/>
      <c r="G1455" s="9"/>
      <c r="H1455" s="9"/>
      <c r="I1455" s="9"/>
      <c r="J1455" s="9"/>
      <c r="K1455" s="383"/>
      <c r="L1455" s="474"/>
      <c r="M1455" s="471"/>
      <c r="N1455" s="405"/>
      <c r="O1455" s="541"/>
      <c r="P1455" s="405"/>
      <c r="Q1455" s="405"/>
      <c r="S1455" s="344" t="str">
        <f t="shared" si="176"/>
        <v>MONTAGEM ELÉTRICA - SDL</v>
      </c>
    </row>
    <row r="1456" spans="1:37" s="344" customFormat="1">
      <c r="A1456" s="49" t="s">
        <v>20</v>
      </c>
      <c r="B1456" s="60" t="s">
        <v>1531</v>
      </c>
      <c r="C1456" s="49"/>
      <c r="D1456" s="130" t="s">
        <v>2208</v>
      </c>
      <c r="E1456" s="7" t="s">
        <v>2340</v>
      </c>
      <c r="F1456" s="27">
        <v>1</v>
      </c>
      <c r="G1456" s="9">
        <v>1816.4</v>
      </c>
      <c r="H1456" s="9">
        <f t="shared" ref="H1456:H1457" si="177">G1456*$P$7</f>
        <v>2098.4869200000003</v>
      </c>
      <c r="I1456" s="131">
        <v>26.44</v>
      </c>
      <c r="J1456" s="131">
        <f>ROUND(H1456*(I1456/100+1),2)</f>
        <v>2653.33</v>
      </c>
      <c r="K1456" s="383">
        <v>0</v>
      </c>
      <c r="L1456" s="474">
        <f>F1456-K1456</f>
        <v>1</v>
      </c>
      <c r="M1456" s="471">
        <f t="shared" ref="M1456:M1477" si="178">ROUND(L1456*J1456,2)</f>
        <v>2653.33</v>
      </c>
      <c r="N1456" s="405"/>
      <c r="O1456" s="541"/>
      <c r="P1456" s="405"/>
      <c r="Q1456" s="405"/>
      <c r="S1456" s="344" t="str">
        <f t="shared" si="176"/>
        <v>MONTAGEM DE MATERIAS E EQUIPAMENTOS ELÉTRICOS</v>
      </c>
    </row>
    <row r="1457" spans="1:19" s="344" customFormat="1">
      <c r="A1457" s="49" t="s">
        <v>19</v>
      </c>
      <c r="B1457" s="60" t="s">
        <v>187</v>
      </c>
      <c r="C1457" s="49"/>
      <c r="D1457" s="130" t="s">
        <v>2272</v>
      </c>
      <c r="E1457" s="18" t="s">
        <v>2340</v>
      </c>
      <c r="F1457" s="36">
        <v>1</v>
      </c>
      <c r="G1457" s="351">
        <v>108.59000000000002</v>
      </c>
      <c r="H1457" s="9">
        <f t="shared" si="177"/>
        <v>125.45402700000002</v>
      </c>
      <c r="I1457" s="131">
        <v>26.44</v>
      </c>
      <c r="J1457" s="131">
        <f>ROUND(H1457*(I1457/100+1),2)</f>
        <v>158.62</v>
      </c>
      <c r="K1457" s="383">
        <v>0</v>
      </c>
      <c r="L1457" s="474">
        <f>F1457-K1457</f>
        <v>1</v>
      </c>
      <c r="M1457" s="471">
        <f t="shared" si="178"/>
        <v>158.62</v>
      </c>
      <c r="N1457" s="405"/>
      <c r="O1457" s="541"/>
      <c r="P1457" s="405"/>
      <c r="Q1457" s="405"/>
      <c r="S1457" s="344" t="str">
        <f t="shared" si="176"/>
        <v>CONSTRUÇÃO DA CAIXA DE PASSAGEM CP-2, 400X400X600MM.</v>
      </c>
    </row>
    <row r="1458" spans="1:19" s="414" customFormat="1">
      <c r="A1458" s="410" t="s">
        <v>18</v>
      </c>
      <c r="B1458" s="641"/>
      <c r="C1458" s="410"/>
      <c r="D1458" s="429" t="s">
        <v>2090</v>
      </c>
      <c r="E1458" s="421" t="s">
        <v>76</v>
      </c>
      <c r="F1458" s="623"/>
      <c r="G1458" s="664"/>
      <c r="H1458" s="664"/>
      <c r="I1458" s="642"/>
      <c r="J1458" s="642"/>
      <c r="K1458" s="498"/>
      <c r="L1458" s="474"/>
      <c r="M1458" s="471"/>
      <c r="N1458" s="419"/>
      <c r="O1458" s="541"/>
      <c r="P1458" s="419"/>
      <c r="Q1458" s="419"/>
      <c r="S1458" s="414" t="str">
        <f t="shared" si="176"/>
        <v>FIOS E CABOS</v>
      </c>
    </row>
    <row r="1459" spans="1:19" s="344" customFormat="1">
      <c r="A1459" s="49" t="s">
        <v>201</v>
      </c>
      <c r="B1459" s="57">
        <f>'[3]Plan Tron'!B135</f>
        <v>390201</v>
      </c>
      <c r="C1459" s="57" t="str">
        <f>'[3]Plan Tron'!C135</f>
        <v>CPOS</v>
      </c>
      <c r="D1459" s="644" t="str">
        <f>UPPER('[3]Plan Tron'!D135)</f>
        <v>CABO DE COBRE DE 1,5 MM², ISOLAMENTO 750 V - ISOLAÇÃO EM PVC 70°C  COR BRANCO</v>
      </c>
      <c r="E1459" s="57" t="str">
        <f>'[3]Plan Tron'!E135</f>
        <v>M</v>
      </c>
      <c r="F1459" s="27">
        <v>80</v>
      </c>
      <c r="G1459" s="351">
        <f>G735</f>
        <v>1.73</v>
      </c>
      <c r="H1459" s="351">
        <f>'[3]Plan Tron'!F135</f>
        <v>1.62</v>
      </c>
      <c r="I1459" s="131">
        <v>26.44</v>
      </c>
      <c r="J1459" s="131">
        <f>ROUND(H1459*(I1459/100+1),2)</f>
        <v>2.0499999999999998</v>
      </c>
      <c r="K1459" s="383">
        <v>0</v>
      </c>
      <c r="L1459" s="474">
        <f t="shared" ref="L1459:L1464" si="179">F1459-K1459</f>
        <v>80</v>
      </c>
      <c r="M1459" s="471">
        <f t="shared" si="178"/>
        <v>164</v>
      </c>
      <c r="N1459" s="405"/>
      <c r="O1459" s="541"/>
      <c r="P1459" s="405"/>
      <c r="Q1459" s="405"/>
      <c r="S1459" s="344" t="str">
        <f t="shared" si="176"/>
        <v>CABO DE COBRE DE 1,5 MM², ISOLAMENTO 750 V - ISOLAÇÃO EM PVC 70°C  COR BRANCO</v>
      </c>
    </row>
    <row r="1460" spans="1:19" s="344" customFormat="1">
      <c r="A1460" s="49" t="s">
        <v>198</v>
      </c>
      <c r="B1460" s="57">
        <f>'[3]Plan Tron'!B136</f>
        <v>390201</v>
      </c>
      <c r="C1460" s="57" t="str">
        <f>'[3]Plan Tron'!C136</f>
        <v>CPOS</v>
      </c>
      <c r="D1460" s="644" t="str">
        <f>UPPER('[3]Plan Tron'!D136)</f>
        <v>CABO DE COBRE DE 1,5 MM², ISOLAMENTO 750 V - ISOLAÇÃO EM PVC 70°C  COR AMARELO</v>
      </c>
      <c r="E1460" s="57" t="str">
        <f>'[3]Plan Tron'!E136</f>
        <v>M</v>
      </c>
      <c r="F1460" s="27">
        <v>80</v>
      </c>
      <c r="G1460" s="351">
        <f>G735</f>
        <v>1.73</v>
      </c>
      <c r="H1460" s="351">
        <f>'[3]Plan Tron'!F136</f>
        <v>1.62</v>
      </c>
      <c r="I1460" s="131">
        <v>26.44</v>
      </c>
      <c r="J1460" s="131">
        <f t="shared" ref="J1460:J1477" si="180">ROUND(H1460*(I1460/100+1),2)</f>
        <v>2.0499999999999998</v>
      </c>
      <c r="K1460" s="383">
        <v>0</v>
      </c>
      <c r="L1460" s="474">
        <f t="shared" si="179"/>
        <v>80</v>
      </c>
      <c r="M1460" s="471">
        <f t="shared" si="178"/>
        <v>164</v>
      </c>
      <c r="N1460" s="405"/>
      <c r="O1460" s="541"/>
      <c r="P1460" s="405"/>
      <c r="Q1460" s="405"/>
      <c r="S1460" s="344" t="str">
        <f t="shared" si="176"/>
        <v>CABO DE COBRE DE 1,5 MM², ISOLAMENTO 750 V - ISOLAÇÃO EM PVC 70°C  COR AMARELO</v>
      </c>
    </row>
    <row r="1461" spans="1:19" s="344" customFormat="1">
      <c r="A1461" s="49" t="s">
        <v>390</v>
      </c>
      <c r="B1461" s="57">
        <f>'[3]Plan Tron'!B137</f>
        <v>390201</v>
      </c>
      <c r="C1461" s="57" t="str">
        <f>'[3]Plan Tron'!C137</f>
        <v>CPOS</v>
      </c>
      <c r="D1461" s="644" t="str">
        <f>UPPER('[3]Plan Tron'!D137)</f>
        <v>CABO DE COBRE DE 1,5 MM², ISOLAMENTO 750 V - ISOLAÇÃO EM PVC 70°C  COR AZUL</v>
      </c>
      <c r="E1461" s="57" t="str">
        <f>'[3]Plan Tron'!E137</f>
        <v>M</v>
      </c>
      <c r="F1461" s="27">
        <v>80</v>
      </c>
      <c r="G1461" s="351">
        <f>G735</f>
        <v>1.73</v>
      </c>
      <c r="H1461" s="351">
        <f>'[3]Plan Tron'!F137</f>
        <v>1.62</v>
      </c>
      <c r="I1461" s="131">
        <v>26.44</v>
      </c>
      <c r="J1461" s="131">
        <f t="shared" si="180"/>
        <v>2.0499999999999998</v>
      </c>
      <c r="K1461" s="383">
        <v>0</v>
      </c>
      <c r="L1461" s="474">
        <f t="shared" si="179"/>
        <v>80</v>
      </c>
      <c r="M1461" s="471">
        <f t="shared" si="178"/>
        <v>164</v>
      </c>
      <c r="N1461" s="405"/>
      <c r="O1461" s="541"/>
      <c r="P1461" s="405"/>
      <c r="Q1461" s="405"/>
      <c r="S1461" s="344" t="str">
        <f t="shared" si="176"/>
        <v>CABO DE COBRE DE 1,5 MM², ISOLAMENTO 750 V - ISOLAÇÃO EM PVC 70°C  COR AZUL</v>
      </c>
    </row>
    <row r="1462" spans="1:19" s="344" customFormat="1">
      <c r="A1462" s="49" t="s">
        <v>387</v>
      </c>
      <c r="B1462" s="57">
        <f>'[3]Plan Tron'!B132</f>
        <v>390216</v>
      </c>
      <c r="C1462" s="57" t="str">
        <f>'[3]Plan Tron'!C132</f>
        <v>CPOS</v>
      </c>
      <c r="D1462" s="643" t="str">
        <f>UPPER('[3]Plan Tron'!D132)</f>
        <v>CABO DE COBRE DE 2,5 MM², ISOLAMENTO 750 V - ISOLAÇÃO EM PVC 70°C COR AZUL</v>
      </c>
      <c r="E1462" s="57" t="str">
        <f>'[3]Plan Tron'!E132</f>
        <v>M</v>
      </c>
      <c r="F1462" s="27">
        <v>30</v>
      </c>
      <c r="G1462" s="351">
        <f>G732</f>
        <v>2.2799999999999998</v>
      </c>
      <c r="H1462" s="351">
        <f>'[3]Plan Tron'!F132</f>
        <v>2.25</v>
      </c>
      <c r="I1462" s="131">
        <v>26.44</v>
      </c>
      <c r="J1462" s="131">
        <f t="shared" si="180"/>
        <v>2.84</v>
      </c>
      <c r="K1462" s="383">
        <v>0</v>
      </c>
      <c r="L1462" s="474">
        <f t="shared" si="179"/>
        <v>30</v>
      </c>
      <c r="M1462" s="471">
        <f t="shared" si="178"/>
        <v>85.2</v>
      </c>
      <c r="N1462" s="405"/>
      <c r="O1462" s="541"/>
      <c r="P1462" s="405"/>
      <c r="Q1462" s="405"/>
      <c r="S1462" s="344" t="str">
        <f t="shared" si="176"/>
        <v>CABO DE COBRE DE 2,5 MM², ISOLAMENTO 750 V - ISOLAÇÃO EM PVC 70°C COR AZUL</v>
      </c>
    </row>
    <row r="1463" spans="1:19" s="344" customFormat="1">
      <c r="A1463" s="49" t="s">
        <v>384</v>
      </c>
      <c r="B1463" s="57">
        <f>'[3]Plan Tron'!B133</f>
        <v>390216</v>
      </c>
      <c r="C1463" s="57" t="str">
        <f>'[3]Plan Tron'!C133</f>
        <v>CPOS</v>
      </c>
      <c r="D1463" s="643" t="str">
        <f>UPPER('[3]Plan Tron'!D133)</f>
        <v>CABO DE COBRE DE 2,5 MM², ISOLAMENTO 750 V - ISOLAÇÃO EM PVC 70°C COR PRETO</v>
      </c>
      <c r="E1463" s="57" t="str">
        <f>'[3]Plan Tron'!E133</f>
        <v>M</v>
      </c>
      <c r="F1463" s="27">
        <v>30</v>
      </c>
      <c r="G1463" s="351">
        <f>G732</f>
        <v>2.2799999999999998</v>
      </c>
      <c r="H1463" s="351">
        <f>'[3]Plan Tron'!F133</f>
        <v>2.25</v>
      </c>
      <c r="I1463" s="131">
        <v>26.44</v>
      </c>
      <c r="J1463" s="131">
        <f t="shared" si="180"/>
        <v>2.84</v>
      </c>
      <c r="K1463" s="383">
        <v>0</v>
      </c>
      <c r="L1463" s="474">
        <f t="shared" si="179"/>
        <v>30</v>
      </c>
      <c r="M1463" s="471">
        <f t="shared" si="178"/>
        <v>85.2</v>
      </c>
      <c r="N1463" s="405"/>
      <c r="O1463" s="541"/>
      <c r="P1463" s="405"/>
      <c r="Q1463" s="405"/>
      <c r="S1463" s="344" t="str">
        <f t="shared" si="176"/>
        <v>CABO DE COBRE DE 2,5 MM², ISOLAMENTO 750 V - ISOLAÇÃO EM PVC 70°C COR PRETO</v>
      </c>
    </row>
    <row r="1464" spans="1:19" s="344" customFormat="1">
      <c r="A1464" s="49" t="s">
        <v>381</v>
      </c>
      <c r="B1464" s="57">
        <f>'[3]Plan Tron'!B134</f>
        <v>390216</v>
      </c>
      <c r="C1464" s="57" t="str">
        <f>'[3]Plan Tron'!C134</f>
        <v>CPOS</v>
      </c>
      <c r="D1464" s="643" t="str">
        <f>UPPER('[3]Plan Tron'!D134)</f>
        <v>CABO DE COBRE DE 2,5 MM², ISOLAMENTO 750 V - ISOLAÇÃO EM PVC 70°C COR VERDE</v>
      </c>
      <c r="E1464" s="57" t="str">
        <f>'[3]Plan Tron'!E134</f>
        <v>M</v>
      </c>
      <c r="F1464" s="27">
        <v>30</v>
      </c>
      <c r="G1464" s="351">
        <f>G732</f>
        <v>2.2799999999999998</v>
      </c>
      <c r="H1464" s="351">
        <f>'[3]Plan Tron'!F134</f>
        <v>2.25</v>
      </c>
      <c r="I1464" s="131">
        <v>26.44</v>
      </c>
      <c r="J1464" s="131">
        <f t="shared" si="180"/>
        <v>2.84</v>
      </c>
      <c r="K1464" s="383">
        <v>0</v>
      </c>
      <c r="L1464" s="474">
        <f t="shared" si="179"/>
        <v>30</v>
      </c>
      <c r="M1464" s="471">
        <f t="shared" si="178"/>
        <v>85.2</v>
      </c>
      <c r="N1464" s="405"/>
      <c r="O1464" s="541"/>
      <c r="P1464" s="405"/>
      <c r="Q1464" s="405"/>
      <c r="S1464" s="344" t="str">
        <f t="shared" si="176"/>
        <v>CABO DE COBRE DE 2,5 MM², ISOLAMENTO 750 V - ISOLAÇÃO EM PVC 70°C COR VERDE</v>
      </c>
    </row>
    <row r="1465" spans="1:19" s="414" customFormat="1">
      <c r="A1465" s="410" t="s">
        <v>17</v>
      </c>
      <c r="B1465" s="641"/>
      <c r="C1465" s="410"/>
      <c r="D1465" s="429" t="s">
        <v>2091</v>
      </c>
      <c r="E1465" s="421" t="s">
        <v>76</v>
      </c>
      <c r="F1465" s="623"/>
      <c r="G1465" s="664"/>
      <c r="H1465" s="664"/>
      <c r="I1465" s="642"/>
      <c r="J1465" s="131"/>
      <c r="K1465" s="498"/>
      <c r="L1465" s="474"/>
      <c r="M1465" s="471"/>
      <c r="N1465" s="419"/>
      <c r="O1465" s="541"/>
      <c r="P1465" s="419"/>
      <c r="Q1465" s="419"/>
      <c r="S1465" s="414" t="str">
        <f t="shared" si="176"/>
        <v>ELETRODUTOS E AFINS</v>
      </c>
    </row>
    <row r="1466" spans="1:19" s="389" customFormat="1">
      <c r="A1466" s="345" t="s">
        <v>195</v>
      </c>
      <c r="B1466" s="49" t="str">
        <f>'[3]Plan Tron'!B53</f>
        <v xml:space="preserve">380404 </v>
      </c>
      <c r="C1466" s="49" t="str">
        <f>'[3]Plan Tron'!C53</f>
        <v>CPOS</v>
      </c>
      <c r="D1466" s="612" t="str">
        <f>'[3]Plan Tron'!D53</f>
        <v xml:space="preserve">ELETRODUTO DE FERRO GALVANIZADO, MÉDIO DE 3/4' - COM ACESSÓRIOS </v>
      </c>
      <c r="E1466" s="49" t="str">
        <f>'[3]Plan Tron'!E53</f>
        <v>M</v>
      </c>
      <c r="F1466" s="343">
        <v>48</v>
      </c>
      <c r="G1466" s="666">
        <v>19.86</v>
      </c>
      <c r="H1466" s="351">
        <f>'[3]Plan Tron'!F53</f>
        <v>20.7</v>
      </c>
      <c r="I1466" s="667">
        <v>26.44</v>
      </c>
      <c r="J1466" s="131">
        <f t="shared" si="180"/>
        <v>26.17</v>
      </c>
      <c r="K1466" s="383">
        <v>0</v>
      </c>
      <c r="L1466" s="474">
        <f t="shared" ref="L1466:L1472" si="181">F1466-K1466</f>
        <v>48</v>
      </c>
      <c r="M1466" s="471">
        <f t="shared" si="178"/>
        <v>1256.1600000000001</v>
      </c>
      <c r="N1466" s="405"/>
      <c r="O1466" s="541"/>
      <c r="P1466" s="405"/>
      <c r="Q1466" s="405"/>
      <c r="S1466" s="344" t="str">
        <f t="shared" si="176"/>
        <v xml:space="preserve">ELETRODUTO DE FERRO GALVANIZADO, MÉDIO DE 3/4' - COM ACESSÓRIOS </v>
      </c>
    </row>
    <row r="1467" spans="1:19" s="389" customFormat="1">
      <c r="A1467" s="345" t="s">
        <v>192</v>
      </c>
      <c r="B1467" s="49" t="str">
        <f>'[3]Plan Tron'!B54</f>
        <v xml:space="preserve">380406 </v>
      </c>
      <c r="C1467" s="49" t="str">
        <f>'[3]Plan Tron'!C54</f>
        <v>CPOS</v>
      </c>
      <c r="D1467" s="612" t="str">
        <f>'[3]Plan Tron'!D54</f>
        <v xml:space="preserve">ELETRODUTO DE FERRO GALVANIZADO, MÉDIO DE 1' - COM ACESSÓRIOS </v>
      </c>
      <c r="E1467" s="49" t="str">
        <f>'[3]Plan Tron'!E54</f>
        <v>M</v>
      </c>
      <c r="F1467" s="343">
        <v>27</v>
      </c>
      <c r="G1467" s="666">
        <v>21.38</v>
      </c>
      <c r="H1467" s="351">
        <f>'[3]Plan Tron'!F54</f>
        <v>24.56</v>
      </c>
      <c r="I1467" s="667">
        <v>26.44</v>
      </c>
      <c r="J1467" s="131">
        <f t="shared" si="180"/>
        <v>31.05</v>
      </c>
      <c r="K1467" s="383">
        <v>0</v>
      </c>
      <c r="L1467" s="474">
        <f t="shared" si="181"/>
        <v>27</v>
      </c>
      <c r="M1467" s="471">
        <f t="shared" si="178"/>
        <v>838.35</v>
      </c>
      <c r="N1467" s="405"/>
      <c r="O1467" s="541"/>
      <c r="P1467" s="405"/>
      <c r="Q1467" s="405"/>
      <c r="S1467" s="344" t="str">
        <f t="shared" si="176"/>
        <v xml:space="preserve">ELETRODUTO DE FERRO GALVANIZADO, MÉDIO DE 1' - COM ACESSÓRIOS </v>
      </c>
    </row>
    <row r="1468" spans="1:19" s="389" customFormat="1">
      <c r="A1468" s="345" t="s">
        <v>280</v>
      </c>
      <c r="B1468" s="49" t="str">
        <f>'[3]Plan Tron'!B55</f>
        <v xml:space="preserve">380410 </v>
      </c>
      <c r="C1468" s="49" t="str">
        <f>'[3]Plan Tron'!C55</f>
        <v>CPOS</v>
      </c>
      <c r="D1468" s="612" t="str">
        <f>'[3]Plan Tron'!D55</f>
        <v xml:space="preserve">ELETRODUTO DE FERRO GALVANIZADO, MÉDIO DE 1 1/2' - COM ACESSÓRIOS </v>
      </c>
      <c r="E1468" s="49" t="str">
        <f>'[3]Plan Tron'!E55</f>
        <v>M</v>
      </c>
      <c r="F1468" s="343">
        <v>36</v>
      </c>
      <c r="G1468" s="666">
        <v>37.71</v>
      </c>
      <c r="H1468" s="351">
        <f>'[3]Plan Tron'!F55</f>
        <v>34.200000000000003</v>
      </c>
      <c r="I1468" s="667">
        <v>26.44</v>
      </c>
      <c r="J1468" s="131">
        <f t="shared" si="180"/>
        <v>43.24</v>
      </c>
      <c r="K1468" s="383">
        <v>0</v>
      </c>
      <c r="L1468" s="474">
        <f t="shared" si="181"/>
        <v>36</v>
      </c>
      <c r="M1468" s="471">
        <f t="shared" si="178"/>
        <v>1556.64</v>
      </c>
      <c r="N1468" s="405"/>
      <c r="O1468" s="541"/>
      <c r="P1468" s="405"/>
      <c r="Q1468" s="405"/>
      <c r="S1468" s="344" t="str">
        <f t="shared" si="176"/>
        <v xml:space="preserve">ELETRODUTO DE FERRO GALVANIZADO, MÉDIO DE 1 1/2' - COM ACESSÓRIOS </v>
      </c>
    </row>
    <row r="1469" spans="1:19" s="389" customFormat="1">
      <c r="A1469" s="345" t="s">
        <v>277</v>
      </c>
      <c r="B1469" s="49" t="str">
        <f>'[3]Plan Tron'!B56</f>
        <v xml:space="preserve">380412 </v>
      </c>
      <c r="C1469" s="49" t="str">
        <f>'[3]Plan Tron'!C56</f>
        <v>CPOS</v>
      </c>
      <c r="D1469" s="612" t="str">
        <f>'[3]Plan Tron'!D56</f>
        <v xml:space="preserve">ELETRODUTO DE FERRO GALVANIZADO, MÉDIO DE 2' - COM ACESSÓRIOS </v>
      </c>
      <c r="E1469" s="49" t="str">
        <f>'[3]Plan Tron'!E56</f>
        <v>M</v>
      </c>
      <c r="F1469" s="343">
        <v>24</v>
      </c>
      <c r="G1469" s="666">
        <v>43.79</v>
      </c>
      <c r="H1469" s="351">
        <f>'[3]Plan Tron'!F56</f>
        <v>39.76</v>
      </c>
      <c r="I1469" s="667">
        <v>26.44</v>
      </c>
      <c r="J1469" s="131">
        <f t="shared" si="180"/>
        <v>50.27</v>
      </c>
      <c r="K1469" s="383">
        <v>0</v>
      </c>
      <c r="L1469" s="474">
        <f t="shared" si="181"/>
        <v>24</v>
      </c>
      <c r="M1469" s="471">
        <f t="shared" si="178"/>
        <v>1206.48</v>
      </c>
      <c r="N1469" s="405"/>
      <c r="O1469" s="541"/>
      <c r="P1469" s="405"/>
      <c r="Q1469" s="405"/>
      <c r="S1469" s="344" t="str">
        <f t="shared" si="176"/>
        <v xml:space="preserve">ELETRODUTO DE FERRO GALVANIZADO, MÉDIO DE 2' - COM ACESSÓRIOS </v>
      </c>
    </row>
    <row r="1470" spans="1:19" s="389" customFormat="1">
      <c r="A1470" s="345" t="s">
        <v>275</v>
      </c>
      <c r="B1470" s="49">
        <f>'[3]Plan Tron'!B194</f>
        <v>381502</v>
      </c>
      <c r="C1470" s="49" t="str">
        <f>'[3]Plan Tron'!C194</f>
        <v>CPOS</v>
      </c>
      <c r="D1470" s="612" t="str">
        <f>UPPER('[3]Plan Tron'!D194)</f>
        <v xml:space="preserve">ELETRODUTO METÁLICO FLEXÍVEL COM CAPA EM PVC DE 1´ </v>
      </c>
      <c r="E1470" s="49" t="str">
        <f>UPPER('[3]Plan Tron'!E194)</f>
        <v>M</v>
      </c>
      <c r="F1470" s="343">
        <v>2</v>
      </c>
      <c r="G1470" s="666">
        <v>15.09</v>
      </c>
      <c r="H1470" s="351">
        <f>'[3]Plan Tron'!F194</f>
        <v>16.75</v>
      </c>
      <c r="I1470" s="667">
        <v>26.44</v>
      </c>
      <c r="J1470" s="131">
        <f t="shared" si="180"/>
        <v>21.18</v>
      </c>
      <c r="K1470" s="383">
        <v>0</v>
      </c>
      <c r="L1470" s="474">
        <f t="shared" si="181"/>
        <v>2</v>
      </c>
      <c r="M1470" s="471">
        <f t="shared" si="178"/>
        <v>42.36</v>
      </c>
      <c r="N1470" s="405"/>
      <c r="O1470" s="541"/>
      <c r="P1470" s="405"/>
      <c r="Q1470" s="405"/>
      <c r="S1470" s="344" t="str">
        <f t="shared" si="176"/>
        <v xml:space="preserve">ELETRODUTO METÁLICO FLEXÍVEL COM CAPA EM PVC DE 1´ </v>
      </c>
    </row>
    <row r="1471" spans="1:19" s="389" customFormat="1">
      <c r="A1471" s="345" t="s">
        <v>274</v>
      </c>
      <c r="B1471" s="49">
        <f>'[3]Plan Tron'!B195</f>
        <v>381503</v>
      </c>
      <c r="C1471" s="49" t="str">
        <f>'[3]Plan Tron'!C195</f>
        <v>CPOS</v>
      </c>
      <c r="D1471" s="612" t="str">
        <f>UPPER('[3]Plan Tron'!D195)</f>
        <v xml:space="preserve">ELETRODUTO METÁLICO FLEXÍVEL COM CAPA EM PVC DE 1 1/2´ </v>
      </c>
      <c r="E1471" s="49" t="str">
        <f>UPPER('[3]Plan Tron'!E195)</f>
        <v>M</v>
      </c>
      <c r="F1471" s="343">
        <v>4</v>
      </c>
      <c r="G1471" s="666">
        <v>27.54</v>
      </c>
      <c r="H1471" s="351">
        <f>'[3]Plan Tron'!F195</f>
        <v>23.67</v>
      </c>
      <c r="I1471" s="667">
        <v>26.44</v>
      </c>
      <c r="J1471" s="131">
        <f t="shared" si="180"/>
        <v>29.93</v>
      </c>
      <c r="K1471" s="383">
        <v>0</v>
      </c>
      <c r="L1471" s="474">
        <f t="shared" si="181"/>
        <v>4</v>
      </c>
      <c r="M1471" s="471">
        <f t="shared" si="178"/>
        <v>119.72</v>
      </c>
      <c r="N1471" s="405"/>
      <c r="O1471" s="541"/>
      <c r="P1471" s="405"/>
      <c r="Q1471" s="405"/>
      <c r="S1471" s="344" t="str">
        <f t="shared" si="176"/>
        <v xml:space="preserve">ELETRODUTO METÁLICO FLEXÍVEL COM CAPA EM PVC DE 1 1/2´ </v>
      </c>
    </row>
    <row r="1472" spans="1:19" s="344" customFormat="1">
      <c r="A1472" s="49" t="s">
        <v>272</v>
      </c>
      <c r="B1472" s="50" t="s">
        <v>1047</v>
      </c>
      <c r="C1472" s="49" t="s">
        <v>2015</v>
      </c>
      <c r="D1472" s="35" t="s">
        <v>2211</v>
      </c>
      <c r="E1472" s="7" t="s">
        <v>2338</v>
      </c>
      <c r="F1472" s="21">
        <v>2</v>
      </c>
      <c r="G1472" s="351">
        <v>9.82</v>
      </c>
      <c r="H1472" s="9">
        <f t="shared" ref="H1472" si="182">G1472*$P$7</f>
        <v>11.345046</v>
      </c>
      <c r="I1472" s="333">
        <v>26.44</v>
      </c>
      <c r="J1472" s="131">
        <f t="shared" si="180"/>
        <v>14.34</v>
      </c>
      <c r="K1472" s="383">
        <v>0</v>
      </c>
      <c r="L1472" s="474">
        <f t="shared" si="181"/>
        <v>2</v>
      </c>
      <c r="M1472" s="471">
        <f t="shared" si="178"/>
        <v>28.68</v>
      </c>
      <c r="N1472" s="405"/>
      <c r="O1472" s="541"/>
      <c r="P1472" s="405"/>
      <c r="Q1472" s="405"/>
      <c r="S1472" s="344" t="str">
        <f t="shared" si="176"/>
        <v>CAIXA DE LIGAÇÃO ("CONDULETE"), TIPO "T", Ø3/4", COM TAMPA CEGA.</v>
      </c>
    </row>
    <row r="1473" spans="1:19" s="414" customFormat="1">
      <c r="A1473" s="410" t="s">
        <v>16</v>
      </c>
      <c r="B1473" s="641"/>
      <c r="C1473" s="410"/>
      <c r="D1473" s="429" t="s">
        <v>2215</v>
      </c>
      <c r="E1473" s="421" t="s">
        <v>76</v>
      </c>
      <c r="F1473" s="430"/>
      <c r="G1473" s="664"/>
      <c r="H1473" s="664"/>
      <c r="I1473" s="665"/>
      <c r="J1473" s="131"/>
      <c r="K1473" s="498"/>
      <c r="L1473" s="474"/>
      <c r="M1473" s="471"/>
      <c r="N1473" s="419"/>
      <c r="O1473" s="541"/>
      <c r="P1473" s="419"/>
      <c r="Q1473" s="419"/>
      <c r="S1473" s="414" t="str">
        <f t="shared" si="176"/>
        <v>ATERRAMENTO E SPDA</v>
      </c>
    </row>
    <row r="1474" spans="1:19" s="389" customFormat="1">
      <c r="A1474" s="345" t="s">
        <v>270</v>
      </c>
      <c r="B1474" s="49">
        <f>'[3]Plan Tron'!B63</f>
        <v>72254</v>
      </c>
      <c r="C1474" s="49" t="str">
        <f>'[3]Plan Tron'!C63</f>
        <v>SINAPI</v>
      </c>
      <c r="D1474" s="612" t="str">
        <f>'[3]Plan Tron'!D63</f>
        <v>CABO DE COBRE NU, SEÇÃO 50 MM², ENCORDOAMENTO CLASSE 2.</v>
      </c>
      <c r="E1474" s="49" t="str">
        <f>'[3]Plan Tron'!E63</f>
        <v>M</v>
      </c>
      <c r="F1474" s="346">
        <v>60</v>
      </c>
      <c r="G1474" s="666">
        <v>22.41</v>
      </c>
      <c r="H1474" s="351">
        <f>'[3]Plan Tron'!F63</f>
        <v>31.11</v>
      </c>
      <c r="I1474" s="667">
        <v>26.44</v>
      </c>
      <c r="J1474" s="131">
        <f t="shared" si="180"/>
        <v>39.340000000000003</v>
      </c>
      <c r="K1474" s="383">
        <v>0</v>
      </c>
      <c r="L1474" s="474">
        <f>F1474-K1474</f>
        <v>60</v>
      </c>
      <c r="M1474" s="471">
        <f t="shared" si="178"/>
        <v>2360.4</v>
      </c>
      <c r="N1474" s="405"/>
      <c r="O1474" s="541"/>
      <c r="P1474" s="405"/>
      <c r="Q1474" s="405"/>
      <c r="S1474" s="344" t="str">
        <f t="shared" si="176"/>
        <v>CABO DE COBRE NU, SEÇÃO 50 MM², ENCORDOAMENTO CLASSE 2.</v>
      </c>
    </row>
    <row r="1475" spans="1:19" s="389" customFormat="1">
      <c r="A1475" s="345" t="s">
        <v>369</v>
      </c>
      <c r="B1475" s="49">
        <f>'[3]Plan Tron'!B148</f>
        <v>72315</v>
      </c>
      <c r="C1475" s="49" t="str">
        <f>'[3]Plan Tron'!C148</f>
        <v>SINAPI</v>
      </c>
      <c r="D1475" s="612" t="str">
        <f>'[3]Plan Tron'!D148</f>
        <v xml:space="preserve">TERMINAL AEREO EM ACO GALVANIZADO COM BASE DE FIXACAO H = 30CM </v>
      </c>
      <c r="E1475" s="49" t="str">
        <f>'[3]Plan Tron'!E148</f>
        <v>UN.</v>
      </c>
      <c r="F1475" s="346">
        <v>9</v>
      </c>
      <c r="G1475" s="666">
        <v>17.12</v>
      </c>
      <c r="H1475" s="351">
        <f>'[3]Plan Tron'!F148</f>
        <v>25.6</v>
      </c>
      <c r="I1475" s="667">
        <v>26.44</v>
      </c>
      <c r="J1475" s="131">
        <f t="shared" si="180"/>
        <v>32.369999999999997</v>
      </c>
      <c r="K1475" s="383">
        <v>0</v>
      </c>
      <c r="L1475" s="474">
        <f>F1475-K1475</f>
        <v>9</v>
      </c>
      <c r="M1475" s="471">
        <f t="shared" si="178"/>
        <v>291.33</v>
      </c>
      <c r="N1475" s="405"/>
      <c r="O1475" s="541"/>
      <c r="P1475" s="405"/>
      <c r="Q1475" s="405"/>
      <c r="S1475" s="344" t="str">
        <f t="shared" si="176"/>
        <v xml:space="preserve">TERMINAL AEREO EM ACO GALVANIZADO COM BASE DE FIXACAO H = 30CM </v>
      </c>
    </row>
    <row r="1476" spans="1:19" s="389" customFormat="1">
      <c r="A1476" s="345" t="s">
        <v>367</v>
      </c>
      <c r="B1476" s="49">
        <f>'[3]Plan Tron'!B60</f>
        <v>83484</v>
      </c>
      <c r="C1476" s="49" t="str">
        <f>'[3]Plan Tron'!C60</f>
        <v>SINAPI</v>
      </c>
      <c r="D1476" s="612" t="str">
        <f>'[3]Plan Tron'!D60</f>
        <v>HASTE DE ATERRAMENTO DE AÇO COBREADO Ø3/4"X3,0M.</v>
      </c>
      <c r="E1476" s="49" t="str">
        <f>'[3]Plan Tron'!E60</f>
        <v>PÇ.</v>
      </c>
      <c r="F1476" s="346">
        <v>4</v>
      </c>
      <c r="G1476" s="666">
        <v>47.99</v>
      </c>
      <c r="H1476" s="351">
        <f>'[3]Plan Tron'!F60</f>
        <v>61.62</v>
      </c>
      <c r="I1476" s="667">
        <v>26.44</v>
      </c>
      <c r="J1476" s="131">
        <f t="shared" si="180"/>
        <v>77.91</v>
      </c>
      <c r="K1476" s="383">
        <v>0</v>
      </c>
      <c r="L1476" s="474">
        <f>F1476-K1476</f>
        <v>4</v>
      </c>
      <c r="M1476" s="471">
        <f t="shared" si="178"/>
        <v>311.64</v>
      </c>
      <c r="N1476" s="405"/>
      <c r="O1476" s="541"/>
      <c r="P1476" s="405"/>
      <c r="Q1476" s="405"/>
      <c r="S1476" s="344" t="str">
        <f t="shared" si="176"/>
        <v>HASTE DE ATERRAMENTO DE AÇO COBREADO Ø3/4"X3,0M.</v>
      </c>
    </row>
    <row r="1477" spans="1:19" s="389" customFormat="1">
      <c r="A1477" s="345" t="s">
        <v>365</v>
      </c>
      <c r="B1477" s="49">
        <f>'[3]Plan Tron'!B149</f>
        <v>93009</v>
      </c>
      <c r="C1477" s="49" t="str">
        <f>'[3]Plan Tron'!C149</f>
        <v>SINAPI</v>
      </c>
      <c r="D1477" s="612" t="str">
        <f>'[3]Plan Tron'!D149</f>
        <v>ELETRODUTO RÍGIDO ROSCÁVEL, PVC, DN 60 MM (2") - FORNECIMENTO E INSTALAÇÃO. AF_12/2015</v>
      </c>
      <c r="E1477" s="49" t="str">
        <f>'[3]Plan Tron'!E149</f>
        <v>M</v>
      </c>
      <c r="F1477" s="346">
        <v>6</v>
      </c>
      <c r="G1477" s="666">
        <v>18.86</v>
      </c>
      <c r="H1477" s="351">
        <f>'[3]Plan Tron'!F149</f>
        <v>13.45</v>
      </c>
      <c r="I1477" s="667">
        <v>26.44</v>
      </c>
      <c r="J1477" s="131">
        <f t="shared" si="180"/>
        <v>17.010000000000002</v>
      </c>
      <c r="K1477" s="383">
        <v>0</v>
      </c>
      <c r="L1477" s="474">
        <f>F1477-K1477</f>
        <v>6</v>
      </c>
      <c r="M1477" s="471">
        <f t="shared" si="178"/>
        <v>102.06</v>
      </c>
      <c r="N1477" s="405"/>
      <c r="O1477" s="541"/>
      <c r="P1477" s="405"/>
      <c r="Q1477" s="405"/>
      <c r="S1477" s="344" t="str">
        <f t="shared" si="176"/>
        <v>ELETRODUTO RÍGIDO ROSCÁVEL, PVC, DN 60 MM (2") - FORNECIMENTO E INSTALAÇÃO. AF_12/2015</v>
      </c>
    </row>
    <row r="1478" spans="1:19" s="344" customFormat="1">
      <c r="A1478" s="49"/>
      <c r="B1478" s="57"/>
      <c r="C1478" s="49"/>
      <c r="D1478" s="17"/>
      <c r="E1478" s="7"/>
      <c r="F1478" s="27"/>
      <c r="G1478" s="312"/>
      <c r="H1478" s="9"/>
      <c r="I1478" s="9"/>
      <c r="J1478" s="9"/>
      <c r="K1478" s="17"/>
      <c r="L1478" s="474"/>
      <c r="M1478" s="472"/>
      <c r="N1478" s="405"/>
      <c r="O1478" s="541"/>
      <c r="P1478" s="405"/>
      <c r="Q1478" s="405"/>
    </row>
    <row r="1479" spans="1:19" s="344" customFormat="1">
      <c r="A1479" s="296"/>
      <c r="B1479" s="44"/>
      <c r="C1479" s="44"/>
      <c r="D1479" s="383"/>
      <c r="E1479" s="296"/>
      <c r="F1479" s="44"/>
      <c r="G1479" s="302"/>
      <c r="H1479" s="384"/>
      <c r="I1479" s="44"/>
      <c r="J1479" s="44"/>
      <c r="K1479" s="383"/>
      <c r="L1479" s="474"/>
      <c r="M1479" s="471"/>
      <c r="N1479" s="405"/>
      <c r="O1479" s="541"/>
      <c r="P1479" s="405"/>
      <c r="Q1479" s="405"/>
      <c r="S1479" s="344" t="str">
        <f>UPPER(D1479)</f>
        <v/>
      </c>
    </row>
    <row r="1480" spans="1:19" s="344" customFormat="1">
      <c r="A1480" s="296"/>
      <c r="B1480" s="44"/>
      <c r="C1480" s="44"/>
      <c r="D1480" s="511" t="s">
        <v>2374</v>
      </c>
      <c r="E1480" s="296"/>
      <c r="F1480" s="44"/>
      <c r="G1480" s="302"/>
      <c r="H1480" s="384"/>
      <c r="I1480" s="44"/>
      <c r="J1480" s="44"/>
      <c r="K1480" s="511"/>
      <c r="L1480" s="508"/>
      <c r="M1480" s="505">
        <f>SUM(M1456:M1478)</f>
        <v>11673.369999999999</v>
      </c>
      <c r="N1480" s="405"/>
      <c r="O1480" s="541"/>
      <c r="P1480" s="405"/>
      <c r="Q1480" s="405"/>
    </row>
    <row r="1481" spans="1:19" s="344" customFormat="1">
      <c r="A1481" s="296"/>
      <c r="B1481" s="44"/>
      <c r="C1481" s="44"/>
      <c r="D1481" s="442" t="s">
        <v>76</v>
      </c>
      <c r="E1481" s="296" t="s">
        <v>76</v>
      </c>
      <c r="F1481" s="44"/>
      <c r="G1481" s="302"/>
      <c r="H1481" s="384"/>
      <c r="I1481" s="44"/>
      <c r="J1481" s="44"/>
      <c r="K1481" s="383"/>
      <c r="L1481" s="474"/>
      <c r="M1481" s="471"/>
      <c r="N1481" s="405"/>
      <c r="O1481" s="541"/>
      <c r="P1481" s="405"/>
      <c r="Q1481" s="405"/>
      <c r="S1481" s="344" t="str">
        <f t="shared" ref="S1481:S1489" si="183">UPPER(D1481)</f>
        <v/>
      </c>
    </row>
    <row r="1482" spans="1:19" s="450" customFormat="1">
      <c r="A1482" s="445">
        <v>26</v>
      </c>
      <c r="B1482" s="446"/>
      <c r="C1482" s="447"/>
      <c r="D1482" s="448" t="s">
        <v>1978</v>
      </c>
      <c r="E1482" s="453" t="s">
        <v>76</v>
      </c>
      <c r="F1482" s="446"/>
      <c r="G1482" s="446"/>
      <c r="H1482" s="780"/>
      <c r="I1482" s="446"/>
      <c r="J1482" s="446"/>
      <c r="K1482" s="473"/>
      <c r="L1482" s="478"/>
      <c r="M1482" s="479"/>
      <c r="N1482" s="454"/>
      <c r="O1482" s="541"/>
      <c r="P1482" s="454"/>
      <c r="Q1482" s="454"/>
      <c r="S1482" s="450" t="str">
        <f t="shared" si="183"/>
        <v xml:space="preserve">INTERLIGAÇÕES </v>
      </c>
    </row>
    <row r="1483" spans="1:19" s="344" customFormat="1">
      <c r="A1483" s="45">
        <v>1</v>
      </c>
      <c r="B1483" s="17"/>
      <c r="C1483" s="45"/>
      <c r="D1483" s="53" t="s">
        <v>2031</v>
      </c>
      <c r="E1483" s="7" t="s">
        <v>76</v>
      </c>
      <c r="F1483" s="21"/>
      <c r="G1483" s="9"/>
      <c r="H1483" s="9"/>
      <c r="I1483" s="9"/>
      <c r="J1483" s="9"/>
      <c r="K1483" s="383"/>
      <c r="L1483" s="474"/>
      <c r="M1483" s="471"/>
      <c r="N1483" s="405"/>
      <c r="O1483" s="541"/>
      <c r="P1483" s="405"/>
      <c r="Q1483" s="405"/>
      <c r="S1483" s="344" t="str">
        <f t="shared" si="183"/>
        <v>SERVIÇOS TÉCNICOS</v>
      </c>
    </row>
    <row r="1484" spans="1:19" s="414" customFormat="1">
      <c r="A1484" s="410" t="s">
        <v>20</v>
      </c>
      <c r="B1484" s="411"/>
      <c r="C1484" s="410"/>
      <c r="D1484" s="429" t="s">
        <v>2032</v>
      </c>
      <c r="E1484" s="617" t="s">
        <v>76</v>
      </c>
      <c r="F1484" s="422"/>
      <c r="G1484" s="412"/>
      <c r="H1484" s="412"/>
      <c r="I1484" s="412"/>
      <c r="J1484" s="412"/>
      <c r="K1484" s="498"/>
      <c r="L1484" s="474"/>
      <c r="M1484" s="471"/>
      <c r="N1484" s="419"/>
      <c r="O1484" s="541"/>
      <c r="P1484" s="419"/>
      <c r="Q1484" s="419"/>
      <c r="S1484" s="414" t="str">
        <f t="shared" si="183"/>
        <v>LOCAÇÃO</v>
      </c>
    </row>
    <row r="1485" spans="1:19" s="344" customFormat="1">
      <c r="A1485" s="49" t="s">
        <v>153</v>
      </c>
      <c r="B1485" s="7">
        <f>'[3]Plan Tron'!B98</f>
        <v>73679</v>
      </c>
      <c r="C1485" s="7" t="str">
        <f>'[3]Plan Tron'!C98</f>
        <v>SINAPI</v>
      </c>
      <c r="D1485" s="654" t="str">
        <f>'[3]Plan Tron'!D98</f>
        <v>LOCAÇÃO DE ADUTORAS, COLETORES TRONCO E INTERCEPTORES - ATÉ DN 500 MM</v>
      </c>
      <c r="E1485" s="7" t="str">
        <f>'[3]Plan Tron'!E98</f>
        <v>M</v>
      </c>
      <c r="F1485" s="21">
        <v>572.02</v>
      </c>
      <c r="G1485" s="9">
        <v>0.83</v>
      </c>
      <c r="H1485" s="9">
        <f>'[3]Plan Tron'!F98</f>
        <v>1.6</v>
      </c>
      <c r="I1485" s="9">
        <v>26.44</v>
      </c>
      <c r="J1485" s="9">
        <f>ROUND(H1485*(I1485/100+1),2)</f>
        <v>2.02</v>
      </c>
      <c r="K1485" s="383">
        <v>0</v>
      </c>
      <c r="L1485" s="474">
        <f>F1485-K1485</f>
        <v>572.02</v>
      </c>
      <c r="M1485" s="471">
        <f t="shared" ref="M1485:M1537" si="184">ROUND(L1485*J1485,2)</f>
        <v>1155.48</v>
      </c>
      <c r="N1485" s="405"/>
      <c r="O1485" s="541"/>
      <c r="P1485" s="405"/>
      <c r="Q1485" s="405"/>
      <c r="S1485" s="344" t="str">
        <f t="shared" si="183"/>
        <v>LOCAÇÃO DE ADUTORAS, COLETORES TRONCO E INTERCEPTORES - ATÉ DN 500 MM</v>
      </c>
    </row>
    <row r="1486" spans="1:19" s="414" customFormat="1">
      <c r="A1486" s="410" t="s">
        <v>19</v>
      </c>
      <c r="B1486" s="656"/>
      <c r="C1486" s="410"/>
      <c r="D1486" s="429" t="s">
        <v>2153</v>
      </c>
      <c r="E1486" s="617" t="s">
        <v>76</v>
      </c>
      <c r="F1486" s="422"/>
      <c r="G1486" s="412"/>
      <c r="H1486" s="412"/>
      <c r="I1486" s="412"/>
      <c r="J1486" s="412"/>
      <c r="K1486" s="498"/>
      <c r="L1486" s="474"/>
      <c r="M1486" s="471"/>
      <c r="N1486" s="419"/>
      <c r="O1486" s="541"/>
      <c r="P1486" s="419"/>
      <c r="Q1486" s="419"/>
      <c r="S1486" s="414" t="str">
        <f t="shared" si="183"/>
        <v>ACESSO/PASSADIÇOS</v>
      </c>
    </row>
    <row r="1487" spans="1:19" s="414" customFormat="1">
      <c r="A1487" s="410" t="s">
        <v>147</v>
      </c>
      <c r="B1487" s="653"/>
      <c r="C1487" s="410"/>
      <c r="D1487" s="429" t="s">
        <v>2154</v>
      </c>
      <c r="E1487" s="617" t="s">
        <v>76</v>
      </c>
      <c r="F1487" s="422"/>
      <c r="G1487" s="412"/>
      <c r="H1487" s="412"/>
      <c r="I1487" s="412"/>
      <c r="J1487" s="412"/>
      <c r="K1487" s="498"/>
      <c r="L1487" s="474"/>
      <c r="M1487" s="471"/>
      <c r="N1487" s="419"/>
      <c r="O1487" s="541"/>
      <c r="P1487" s="419"/>
      <c r="Q1487" s="419"/>
      <c r="S1487" s="414" t="str">
        <f t="shared" si="183"/>
        <v>PASSADIÇOS E TRAVESSIAS - MONTAGEM, MANUTENÇÃO E  REMOÇÃO.</v>
      </c>
    </row>
    <row r="1488" spans="1:19" s="344" customFormat="1">
      <c r="A1488" s="49" t="s">
        <v>146</v>
      </c>
      <c r="B1488" s="349" t="str">
        <f>'[3]Plan Tron'!B99</f>
        <v xml:space="preserve">74219/001 </v>
      </c>
      <c r="C1488" s="349" t="str">
        <f>'[3]Plan Tron'!C99</f>
        <v>SINAPI</v>
      </c>
      <c r="D1488" s="130" t="str">
        <f>'[3]Plan Tron'!D99</f>
        <v>PASSADICOS COM TABUAS DE MADEIRA PARA PEDESTRES</v>
      </c>
      <c r="E1488" s="349" t="str">
        <f>'[3]Plan Tron'!E99</f>
        <v>M²</v>
      </c>
      <c r="F1488" s="21">
        <v>72.430000000000007</v>
      </c>
      <c r="G1488" s="9">
        <v>38.39</v>
      </c>
      <c r="H1488" s="9">
        <f>'[3]Plan Tron'!F99</f>
        <v>51.52</v>
      </c>
      <c r="I1488" s="9">
        <v>26.44</v>
      </c>
      <c r="J1488" s="9">
        <f>ROUND(H1488*(I1488/100+1),2)</f>
        <v>65.14</v>
      </c>
      <c r="K1488" s="383">
        <v>0</v>
      </c>
      <c r="L1488" s="474">
        <f>F1488-K1488</f>
        <v>72.430000000000007</v>
      </c>
      <c r="M1488" s="471">
        <f t="shared" si="184"/>
        <v>4718.09</v>
      </c>
      <c r="N1488" s="405"/>
      <c r="O1488" s="541"/>
      <c r="P1488" s="405"/>
      <c r="Q1488" s="405"/>
      <c r="S1488" s="344" t="str">
        <f t="shared" si="183"/>
        <v>PASSADICOS COM TABUAS DE MADEIRA PARA PEDESTRES</v>
      </c>
    </row>
    <row r="1489" spans="1:19" s="344" customFormat="1">
      <c r="A1489" s="49" t="s">
        <v>1197</v>
      </c>
      <c r="B1489" s="349" t="str">
        <f>'[3]Plan Tron'!B100</f>
        <v xml:space="preserve">74219/002 </v>
      </c>
      <c r="C1489" s="349" t="str">
        <f>'[3]Plan Tron'!C100</f>
        <v>SINAPI</v>
      </c>
      <c r="D1489" s="130" t="str">
        <f>'[3]Plan Tron'!D100</f>
        <v xml:space="preserve">PASSADICOS COM TABUAS DE MADEIRA PARA VEICULOS </v>
      </c>
      <c r="E1489" s="349" t="str">
        <f>'[3]Plan Tron'!E100</f>
        <v>M²</v>
      </c>
      <c r="F1489" s="21">
        <v>35.11</v>
      </c>
      <c r="G1489" s="9">
        <v>33.68</v>
      </c>
      <c r="H1489" s="9">
        <f>'[3]Plan Tron'!F100</f>
        <v>46.27</v>
      </c>
      <c r="I1489" s="9">
        <v>26.44</v>
      </c>
      <c r="J1489" s="9">
        <f>ROUND(H1489*(I1489/100+1),2)</f>
        <v>58.5</v>
      </c>
      <c r="K1489" s="383">
        <v>0</v>
      </c>
      <c r="L1489" s="474">
        <f>F1489-K1489</f>
        <v>35.11</v>
      </c>
      <c r="M1489" s="471">
        <f t="shared" si="184"/>
        <v>2053.94</v>
      </c>
      <c r="N1489" s="405"/>
      <c r="O1489" s="541"/>
      <c r="P1489" s="405"/>
      <c r="Q1489" s="405"/>
      <c r="S1489" s="344" t="str">
        <f t="shared" si="183"/>
        <v xml:space="preserve">PASSADICOS COM TABUAS DE MADEIRA PARA VEICULOS </v>
      </c>
    </row>
    <row r="1490" spans="1:19" s="344" customFormat="1">
      <c r="A1490" s="49"/>
      <c r="B1490" s="14"/>
      <c r="C1490" s="49"/>
      <c r="D1490" s="17"/>
      <c r="E1490" s="7"/>
      <c r="F1490" s="21"/>
      <c r="G1490" s="9"/>
      <c r="H1490" s="9"/>
      <c r="I1490" s="9"/>
      <c r="J1490" s="9"/>
      <c r="K1490" s="17"/>
      <c r="L1490" s="474"/>
      <c r="M1490" s="471"/>
      <c r="N1490" s="405"/>
      <c r="O1490" s="541"/>
      <c r="P1490" s="405"/>
      <c r="Q1490" s="405"/>
    </row>
    <row r="1491" spans="1:19" s="344" customFormat="1">
      <c r="A1491" s="49"/>
      <c r="B1491" s="11"/>
      <c r="C1491" s="49"/>
      <c r="D1491" s="130" t="s">
        <v>76</v>
      </c>
      <c r="E1491" s="7" t="s">
        <v>76</v>
      </c>
      <c r="F1491" s="21"/>
      <c r="G1491" s="9"/>
      <c r="H1491" s="9"/>
      <c r="I1491" s="9"/>
      <c r="J1491" s="9"/>
      <c r="K1491" s="383"/>
      <c r="L1491" s="474"/>
      <c r="M1491" s="471"/>
      <c r="N1491" s="405"/>
      <c r="O1491" s="541"/>
      <c r="P1491" s="405"/>
      <c r="Q1491" s="405"/>
      <c r="S1491" s="344" t="str">
        <f t="shared" ref="S1491:S1511" si="185">UPPER(D1491)</f>
        <v/>
      </c>
    </row>
    <row r="1492" spans="1:19" s="344" customFormat="1">
      <c r="A1492" s="45">
        <v>2</v>
      </c>
      <c r="B1492" s="25"/>
      <c r="C1492" s="45"/>
      <c r="D1492" s="399" t="s">
        <v>2038</v>
      </c>
      <c r="E1492" s="24" t="s">
        <v>76</v>
      </c>
      <c r="F1492" s="21"/>
      <c r="G1492" s="9"/>
      <c r="H1492" s="9"/>
      <c r="I1492" s="9"/>
      <c r="J1492" s="9"/>
      <c r="K1492" s="383"/>
      <c r="L1492" s="474"/>
      <c r="M1492" s="471"/>
      <c r="N1492" s="405"/>
      <c r="O1492" s="541"/>
      <c r="P1492" s="405"/>
      <c r="Q1492" s="405"/>
      <c r="S1492" s="344" t="str">
        <f t="shared" si="185"/>
        <v>MOVIMENTO DE TERRA</v>
      </c>
    </row>
    <row r="1493" spans="1:19" s="414" customFormat="1">
      <c r="A1493" s="410" t="s">
        <v>9</v>
      </c>
      <c r="B1493" s="411"/>
      <c r="C1493" s="410"/>
      <c r="D1493" s="434" t="s">
        <v>2041</v>
      </c>
      <c r="E1493" s="424" t="s">
        <v>76</v>
      </c>
      <c r="F1493" s="422"/>
      <c r="G1493" s="412"/>
      <c r="H1493" s="412"/>
      <c r="I1493" s="412"/>
      <c r="J1493" s="412"/>
      <c r="K1493" s="498"/>
      <c r="L1493" s="474"/>
      <c r="M1493" s="471"/>
      <c r="N1493" s="419"/>
      <c r="O1493" s="541"/>
      <c r="P1493" s="419"/>
      <c r="Q1493" s="419"/>
      <c r="S1493" s="414" t="str">
        <f t="shared" si="185"/>
        <v>ESCAVAÇÃO DE VALAS</v>
      </c>
    </row>
    <row r="1494" spans="1:19" s="414" customFormat="1">
      <c r="A1494" s="410" t="s">
        <v>348</v>
      </c>
      <c r="B1494" s="411"/>
      <c r="C1494" s="410"/>
      <c r="D1494" s="434" t="s">
        <v>2043</v>
      </c>
      <c r="E1494" s="424" t="s">
        <v>76</v>
      </c>
      <c r="F1494" s="422"/>
      <c r="G1494" s="412"/>
      <c r="H1494" s="412"/>
      <c r="I1494" s="412"/>
      <c r="J1494" s="412"/>
      <c r="K1494" s="498"/>
      <c r="L1494" s="474"/>
      <c r="M1494" s="471"/>
      <c r="N1494" s="419"/>
      <c r="O1494" s="541"/>
      <c r="P1494" s="419"/>
      <c r="Q1494" s="419"/>
      <c r="S1494" s="414" t="str">
        <f t="shared" si="185"/>
        <v>ESCAVAÇÃO MECÂNICA DE VALAS</v>
      </c>
    </row>
    <row r="1495" spans="1:19" s="344" customFormat="1">
      <c r="A1495" s="49" t="s">
        <v>417</v>
      </c>
      <c r="B1495" s="49">
        <f>'[3]Plan Tron'!B7</f>
        <v>60202</v>
      </c>
      <c r="C1495" s="49" t="str">
        <f>'[3]Plan Tron'!C7</f>
        <v>CPOS</v>
      </c>
      <c r="D1495" s="612" t="str">
        <f>'[3]Plan Tron'!D7</f>
        <v xml:space="preserve">ESCAVAÇÃO MANUAL EM SOLO DE 1ª E 2ª CATEGORIA EM VALA OU CAVA ATÉ 1,50M </v>
      </c>
      <c r="E1495" s="49" t="str">
        <f>'[3]Plan Tron'!E7</f>
        <v>M³</v>
      </c>
      <c r="F1495" s="21">
        <v>615.87</v>
      </c>
      <c r="G1495" s="9">
        <v>6.98</v>
      </c>
      <c r="H1495" s="9">
        <f>'[3]Plan Tron'!F7</f>
        <v>34.020000000000003</v>
      </c>
      <c r="I1495" s="9">
        <v>26.44</v>
      </c>
      <c r="J1495" s="9">
        <f>ROUND(H1495*(I1495/100+1),2)</f>
        <v>43.01</v>
      </c>
      <c r="K1495" s="383">
        <v>0</v>
      </c>
      <c r="L1495" s="474">
        <f>F1495-K1495</f>
        <v>615.87</v>
      </c>
      <c r="M1495" s="471">
        <f t="shared" si="184"/>
        <v>26488.57</v>
      </c>
      <c r="N1495" s="405"/>
      <c r="O1495" s="541"/>
      <c r="P1495" s="405"/>
      <c r="Q1495" s="405"/>
      <c r="S1495" s="344" t="str">
        <f t="shared" si="185"/>
        <v xml:space="preserve">ESCAVAÇÃO MANUAL EM SOLO DE 1ª E 2ª CATEGORIA EM VALA OU CAVA ATÉ 1,50M </v>
      </c>
    </row>
    <row r="1496" spans="1:19" s="344" customFormat="1">
      <c r="A1496" s="49" t="s">
        <v>809</v>
      </c>
      <c r="B1496" s="49">
        <f>'[3]Plan Tron'!B8</f>
        <v>60204</v>
      </c>
      <c r="C1496" s="49" t="str">
        <f>'[3]Plan Tron'!C8</f>
        <v>CPOS</v>
      </c>
      <c r="D1496" s="612" t="str">
        <f>'[3]Plan Tron'!D8</f>
        <v>ESCAVAÇÃO MANUAL EM SOLO DE 1ª E 2ª CATEGORIA EM VALA OU CAVA DE 1,5M A 3M</v>
      </c>
      <c r="E1496" s="49" t="str">
        <f>'[3]Plan Tron'!E8</f>
        <v>M³</v>
      </c>
      <c r="F1496" s="21">
        <v>262.88</v>
      </c>
      <c r="G1496" s="9">
        <f>ROUND(5.57,2)</f>
        <v>5.57</v>
      </c>
      <c r="H1496" s="9">
        <f>'[3]Plan Tron'!F8</f>
        <v>44</v>
      </c>
      <c r="I1496" s="9">
        <v>26.44</v>
      </c>
      <c r="J1496" s="9">
        <f t="shared" ref="J1496:J1511" si="186">ROUND(H1496*(I1496/100+1),2)</f>
        <v>55.63</v>
      </c>
      <c r="K1496" s="383">
        <v>0</v>
      </c>
      <c r="L1496" s="474">
        <f>F1496-K1496</f>
        <v>262.88</v>
      </c>
      <c r="M1496" s="471">
        <f t="shared" si="184"/>
        <v>14624.01</v>
      </c>
      <c r="N1496" s="405"/>
      <c r="O1496" s="541"/>
      <c r="P1496" s="405"/>
      <c r="Q1496" s="405"/>
      <c r="S1496" s="344" t="str">
        <f t="shared" si="185"/>
        <v>ESCAVAÇÃO MANUAL EM SOLO DE 1ª E 2ª CATEGORIA EM VALA OU CAVA DE 1,5M A 3M</v>
      </c>
    </row>
    <row r="1497" spans="1:19" s="344" customFormat="1">
      <c r="A1497" s="49" t="s">
        <v>808</v>
      </c>
      <c r="B1497" s="49">
        <f>'[3]Plan Tron'!B9</f>
        <v>60204</v>
      </c>
      <c r="C1497" s="49" t="str">
        <f>'[3]Plan Tron'!C9</f>
        <v>CPOS</v>
      </c>
      <c r="D1497" s="612" t="str">
        <f>'[3]Plan Tron'!D9</f>
        <v>ESCAVAÇÃO MANUAL EM SOLO DE 1ª E 2ª CATEGORIA EM VALA OU CAVA DE 3M A 4,50M</v>
      </c>
      <c r="E1497" s="49" t="str">
        <f>'[3]Plan Tron'!E9</f>
        <v>M³</v>
      </c>
      <c r="F1497" s="21">
        <v>65.959999999999994</v>
      </c>
      <c r="G1497" s="9">
        <f>ROUND(8.22,2)</f>
        <v>8.2200000000000006</v>
      </c>
      <c r="H1497" s="9">
        <f>'[3]Plan Tron'!F9</f>
        <v>44</v>
      </c>
      <c r="I1497" s="9">
        <v>26.44</v>
      </c>
      <c r="J1497" s="9">
        <f t="shared" si="186"/>
        <v>55.63</v>
      </c>
      <c r="K1497" s="383">
        <v>0</v>
      </c>
      <c r="L1497" s="474">
        <f>F1497-K1497</f>
        <v>65.959999999999994</v>
      </c>
      <c r="M1497" s="471">
        <f t="shared" si="184"/>
        <v>3669.35</v>
      </c>
      <c r="N1497" s="405"/>
      <c r="O1497" s="541"/>
      <c r="P1497" s="405"/>
      <c r="Q1497" s="405"/>
      <c r="S1497" s="344" t="str">
        <f t="shared" si="185"/>
        <v>ESCAVAÇÃO MANUAL EM SOLO DE 1ª E 2ª CATEGORIA EM VALA OU CAVA DE 3M A 4,50M</v>
      </c>
    </row>
    <row r="1498" spans="1:19" s="414" customFormat="1">
      <c r="A1498" s="410" t="s">
        <v>8</v>
      </c>
      <c r="B1498" s="411"/>
      <c r="C1498" s="410"/>
      <c r="D1498" s="434" t="s">
        <v>2111</v>
      </c>
      <c r="E1498" s="424" t="s">
        <v>76</v>
      </c>
      <c r="F1498" s="422"/>
      <c r="G1498" s="412"/>
      <c r="H1498" s="412"/>
      <c r="I1498" s="412"/>
      <c r="J1498" s="9"/>
      <c r="K1498" s="498"/>
      <c r="L1498" s="474"/>
      <c r="M1498" s="471"/>
      <c r="N1498" s="419"/>
      <c r="O1498" s="541"/>
      <c r="P1498" s="419"/>
      <c r="Q1498" s="419"/>
      <c r="S1498" s="414" t="str">
        <f t="shared" si="185"/>
        <v>ATERRO / REATERRO DE VALAS COM OU S/ COMPACTAÇÃO.</v>
      </c>
    </row>
    <row r="1499" spans="1:19" s="414" customFormat="1">
      <c r="A1499" s="410" t="s">
        <v>317</v>
      </c>
      <c r="B1499" s="411"/>
      <c r="C1499" s="410"/>
      <c r="D1499" s="434" t="s">
        <v>2045</v>
      </c>
      <c r="E1499" s="424" t="s">
        <v>76</v>
      </c>
      <c r="F1499" s="422"/>
      <c r="G1499" s="412"/>
      <c r="H1499" s="412"/>
      <c r="I1499" s="412"/>
      <c r="J1499" s="9"/>
      <c r="K1499" s="498"/>
      <c r="L1499" s="474"/>
      <c r="M1499" s="471"/>
      <c r="N1499" s="419"/>
      <c r="O1499" s="541"/>
      <c r="P1499" s="419"/>
      <c r="Q1499" s="419"/>
      <c r="S1499" s="414" t="str">
        <f t="shared" si="185"/>
        <v>REATERRO DE VALAS</v>
      </c>
    </row>
    <row r="1500" spans="1:19" s="344" customFormat="1">
      <c r="A1500" s="49" t="s">
        <v>318</v>
      </c>
      <c r="B1500" s="49" t="str">
        <f>'[3]Plan Tron'!B12</f>
        <v xml:space="preserve">73964/006 </v>
      </c>
      <c r="C1500" s="49" t="str">
        <f>'[3]Plan Tron'!C12</f>
        <v>SINAPI</v>
      </c>
      <c r="D1500" s="612" t="str">
        <f>'[3]Plan Tron'!D12</f>
        <v xml:space="preserve">REATERRO DE VALA COM COMPACTAÇÃO MANUAL </v>
      </c>
      <c r="E1500" s="49" t="str">
        <f>'[3]Plan Tron'!E12</f>
        <v>M³</v>
      </c>
      <c r="F1500" s="21">
        <v>202.92</v>
      </c>
      <c r="G1500" s="9">
        <v>20.67</v>
      </c>
      <c r="H1500" s="9">
        <f>'[3]Plan Tron'!F12</f>
        <v>49.62</v>
      </c>
      <c r="I1500" s="9">
        <v>26.44</v>
      </c>
      <c r="J1500" s="9">
        <f t="shared" si="186"/>
        <v>62.74</v>
      </c>
      <c r="K1500" s="383">
        <v>0</v>
      </c>
      <c r="L1500" s="474">
        <f>F1500-K1500</f>
        <v>202.92</v>
      </c>
      <c r="M1500" s="471">
        <f t="shared" si="184"/>
        <v>12731.2</v>
      </c>
      <c r="N1500" s="405"/>
      <c r="O1500" s="541"/>
      <c r="P1500" s="405"/>
      <c r="Q1500" s="405"/>
      <c r="S1500" s="344" t="str">
        <f t="shared" si="185"/>
        <v xml:space="preserve">REATERRO DE VALA COM COMPACTAÇÃO MANUAL </v>
      </c>
    </row>
    <row r="1501" spans="1:19" s="344" customFormat="1" ht="38.25">
      <c r="A1501" s="49" t="s">
        <v>807</v>
      </c>
      <c r="B1501" s="49">
        <f>'[3]Plan Tron'!B101</f>
        <v>93379</v>
      </c>
      <c r="C1501" s="49" t="str">
        <f>'[3]Plan Tron'!C101</f>
        <v>SINAPI</v>
      </c>
      <c r="D1501" s="614" t="str">
        <f>'[3]Plan Tron'!D101</f>
        <v>REATERRO MECANIZADO DE VALA COM RETROESCAVADEIRA (CAPACIDADE DA CAÇAMBA DA RETRO: 0,26 M³ /POTÊNCIA: 88 HP), LARGURA DE 0,8 A 1,5 M, PROFUNDIDADE ATÉ 1,5 M, COM SOLO (SEM SUBSTITUIÇÃO) DE 1ª CATEGORIA EM LOCAIS COM BAIXO NÍVEL DE INTERFERÊNCIA. AF_04/2016</v>
      </c>
      <c r="E1501" s="49" t="str">
        <f>'[3]Plan Tron'!E101</f>
        <v>M³</v>
      </c>
      <c r="F1501" s="21">
        <v>473.49</v>
      </c>
      <c r="G1501" s="9">
        <v>7.8</v>
      </c>
      <c r="H1501" s="9">
        <f>'[3]Plan Tron'!F101</f>
        <v>13.36</v>
      </c>
      <c r="I1501" s="9">
        <v>26.44</v>
      </c>
      <c r="J1501" s="9">
        <f t="shared" si="186"/>
        <v>16.89</v>
      </c>
      <c r="K1501" s="383">
        <v>0</v>
      </c>
      <c r="L1501" s="474">
        <f>F1501-K1501</f>
        <v>473.49</v>
      </c>
      <c r="M1501" s="471">
        <f t="shared" si="184"/>
        <v>7997.25</v>
      </c>
      <c r="N1501" s="405"/>
      <c r="O1501" s="541"/>
      <c r="P1501" s="405"/>
      <c r="Q1501" s="405"/>
      <c r="S1501" s="344" t="str">
        <f t="shared" si="185"/>
        <v>REATERRO MECANIZADO DE VALA COM RETROESCAVADEIRA (CAPACIDADE DA CAÇAMBA DA RETRO: 0,26 M³ /POTÊNCIA: 88 HP), LARGURA DE 0,8 A 1,5 M, PROFUNDIDADE ATÉ 1,5 M, COM SOLO (SEM SUBSTITUIÇÃO) DE 1ª CATEGORIA EM LOCAIS COM BAIXO NÍVEL DE INTERFERÊNCIA. AF_04/2016</v>
      </c>
    </row>
    <row r="1502" spans="1:19" s="414" customFormat="1">
      <c r="A1502" s="650" t="s">
        <v>316</v>
      </c>
      <c r="B1502" s="425"/>
      <c r="C1502" s="650"/>
      <c r="D1502" s="660" t="s">
        <v>2273</v>
      </c>
      <c r="E1502" s="640" t="s">
        <v>76</v>
      </c>
      <c r="F1502" s="623"/>
      <c r="G1502" s="423"/>
      <c r="H1502" s="423"/>
      <c r="I1502" s="412"/>
      <c r="J1502" s="9"/>
      <c r="K1502" s="498"/>
      <c r="L1502" s="474"/>
      <c r="M1502" s="471"/>
      <c r="N1502" s="419"/>
      <c r="O1502" s="541"/>
      <c r="P1502" s="419"/>
      <c r="Q1502" s="419"/>
      <c r="S1502" s="414" t="str">
        <f t="shared" si="185"/>
        <v>ENVOLTÓRIA COM AREIA</v>
      </c>
    </row>
    <row r="1503" spans="1:19" s="389" customFormat="1" ht="25.5">
      <c r="A1503" s="342" t="s">
        <v>988</v>
      </c>
      <c r="B1503" s="332">
        <f>'[3]Plan Tron'!B180</f>
        <v>368</v>
      </c>
      <c r="C1503" s="332" t="str">
        <f>'[3]Plan Tron'!C180</f>
        <v>SINAPI (INSUMO)</v>
      </c>
      <c r="D1503" s="614" t="str">
        <f>'[3]Plan Tron'!D180</f>
        <v>AREIA PARA ATERRO - POSTO JAZIDA/FORNECEDOR (RETIRADO NA JAZIDA, SEM TRANSPORTE)</v>
      </c>
      <c r="E1503" s="332" t="str">
        <f>'[3]Plan Tron'!E180</f>
        <v>M³</v>
      </c>
      <c r="F1503" s="661">
        <v>190</v>
      </c>
      <c r="G1503" s="662">
        <f>ROUND(28.8,2)</f>
        <v>28.8</v>
      </c>
      <c r="H1503" s="9">
        <f>'[3]Plan Tron'!F180</f>
        <v>45.56</v>
      </c>
      <c r="I1503" s="663">
        <v>26.44</v>
      </c>
      <c r="J1503" s="9">
        <f t="shared" si="186"/>
        <v>57.61</v>
      </c>
      <c r="K1503" s="383">
        <v>0</v>
      </c>
      <c r="L1503" s="474">
        <f>F1503-K1503</f>
        <v>190</v>
      </c>
      <c r="M1503" s="471">
        <f t="shared" si="184"/>
        <v>10945.9</v>
      </c>
      <c r="N1503" s="405"/>
      <c r="O1503" s="541"/>
      <c r="P1503" s="405"/>
      <c r="Q1503" s="405"/>
      <c r="S1503" s="344" t="str">
        <f t="shared" si="185"/>
        <v>AREIA PARA ATERRO - POSTO JAZIDA/FORNECEDOR (RETIRADO NA JAZIDA, SEM TRANSPORTE)</v>
      </c>
    </row>
    <row r="1504" spans="1:19" s="389" customFormat="1" ht="25.5">
      <c r="A1504" s="342" t="s">
        <v>1572</v>
      </c>
      <c r="B1504" s="332">
        <f>'[3]Plan Tron'!B155</f>
        <v>6111</v>
      </c>
      <c r="C1504" s="332" t="str">
        <f>'[3]Plan Tron'!C155</f>
        <v>SINAPI (INSUMO)</v>
      </c>
      <c r="D1504" s="614" t="str">
        <f>'[3]Plan Tron'!D155</f>
        <v xml:space="preserve">SERVENTE </v>
      </c>
      <c r="E1504" s="332" t="str">
        <f>'[3]Plan Tron'!E155</f>
        <v>H</v>
      </c>
      <c r="F1504" s="661">
        <f>F1503*2</f>
        <v>380</v>
      </c>
      <c r="G1504" s="662">
        <v>9.84</v>
      </c>
      <c r="H1504" s="9">
        <f>'[3]Plan Tron'!F155</f>
        <v>12.02</v>
      </c>
      <c r="I1504" s="663">
        <v>26.44</v>
      </c>
      <c r="J1504" s="9">
        <f t="shared" si="186"/>
        <v>15.2</v>
      </c>
      <c r="K1504" s="383">
        <v>0</v>
      </c>
      <c r="L1504" s="474">
        <f>F1504-K1504</f>
        <v>380</v>
      </c>
      <c r="M1504" s="471">
        <f t="shared" si="184"/>
        <v>5776</v>
      </c>
      <c r="N1504" s="405"/>
      <c r="O1504" s="541"/>
      <c r="P1504" s="405"/>
      <c r="Q1504" s="405"/>
      <c r="S1504" s="344" t="str">
        <f t="shared" si="185"/>
        <v xml:space="preserve">SERVENTE </v>
      </c>
    </row>
    <row r="1505" spans="1:19" s="414" customFormat="1">
      <c r="A1505" s="410" t="s">
        <v>7</v>
      </c>
      <c r="B1505" s="411"/>
      <c r="C1505" s="410"/>
      <c r="D1505" s="434" t="s">
        <v>2156</v>
      </c>
      <c r="E1505" s="424" t="s">
        <v>76</v>
      </c>
      <c r="F1505" s="422"/>
      <c r="G1505" s="412"/>
      <c r="H1505" s="412"/>
      <c r="I1505" s="412"/>
      <c r="J1505" s="9"/>
      <c r="K1505" s="498"/>
      <c r="L1505" s="474"/>
      <c r="M1505" s="471"/>
      <c r="N1505" s="419"/>
      <c r="O1505" s="541"/>
      <c r="P1505" s="419"/>
      <c r="Q1505" s="419"/>
      <c r="S1505" s="414" t="str">
        <f t="shared" si="185"/>
        <v>FORNECIMENTO DE MATERIAL C/ OU S/ CARGA, DESCARGA E TRANSPORTE.</v>
      </c>
    </row>
    <row r="1506" spans="1:19" s="344" customFormat="1">
      <c r="A1506" s="49" t="s">
        <v>314</v>
      </c>
      <c r="B1506" s="49">
        <f>'[3]Plan Tron'!B18</f>
        <v>6514</v>
      </c>
      <c r="C1506" s="49" t="str">
        <f>'[3]Plan Tron'!C18</f>
        <v>SINAPI</v>
      </c>
      <c r="D1506" s="612" t="str">
        <f>'[3]Plan Tron'!D18</f>
        <v xml:space="preserve">FORNECIMENTO E LANCAMENTO DE BRITA N. 4 </v>
      </c>
      <c r="E1506" s="49" t="str">
        <f>'[3]Plan Tron'!E18</f>
        <v>M³</v>
      </c>
      <c r="F1506" s="21">
        <v>18.59</v>
      </c>
      <c r="G1506" s="9">
        <v>67.08</v>
      </c>
      <c r="H1506" s="9">
        <f>'[3]Plan Tron'!F18</f>
        <v>88.38</v>
      </c>
      <c r="I1506" s="9">
        <v>26.44</v>
      </c>
      <c r="J1506" s="9">
        <f t="shared" si="186"/>
        <v>111.75</v>
      </c>
      <c r="K1506" s="383">
        <v>0</v>
      </c>
      <c r="L1506" s="474">
        <f>F1506-K1506</f>
        <v>18.59</v>
      </c>
      <c r="M1506" s="471">
        <f t="shared" si="184"/>
        <v>2077.4299999999998</v>
      </c>
      <c r="N1506" s="405"/>
      <c r="O1506" s="541"/>
      <c r="P1506" s="405"/>
      <c r="Q1506" s="405"/>
      <c r="S1506" s="344" t="str">
        <f t="shared" si="185"/>
        <v xml:space="preserve">FORNECIMENTO E LANCAMENTO DE BRITA N. 4 </v>
      </c>
    </row>
    <row r="1507" spans="1:19" s="414" customFormat="1">
      <c r="A1507" s="410" t="s">
        <v>6</v>
      </c>
      <c r="B1507" s="411"/>
      <c r="C1507" s="410"/>
      <c r="D1507" s="434" t="s">
        <v>2100</v>
      </c>
      <c r="E1507" s="424" t="s">
        <v>76</v>
      </c>
      <c r="F1507" s="422"/>
      <c r="G1507" s="412"/>
      <c r="H1507" s="412"/>
      <c r="I1507" s="412"/>
      <c r="J1507" s="9"/>
      <c r="K1507" s="498"/>
      <c r="L1507" s="474"/>
      <c r="M1507" s="471"/>
      <c r="N1507" s="419"/>
      <c r="O1507" s="541"/>
      <c r="P1507" s="419"/>
      <c r="Q1507" s="419"/>
      <c r="S1507" s="414" t="str">
        <f t="shared" si="185"/>
        <v>COMPACTAÇÃO OU APILOAMENTO</v>
      </c>
    </row>
    <row r="1508" spans="1:19" s="344" customFormat="1" ht="25.5">
      <c r="A1508" s="49" t="s">
        <v>311</v>
      </c>
      <c r="B1508" s="49">
        <f>'[3]Plan Tron'!B89</f>
        <v>94098</v>
      </c>
      <c r="C1508" s="49" t="str">
        <f>'[3]Plan Tron'!C89</f>
        <v>SINAPI</v>
      </c>
      <c r="D1508" s="614" t="str">
        <f>'[3]Plan Tron'!D89</f>
        <v>PREPARO DE FUNDO DE VALA COM LARGURA MENOR QUE 1,5 M, EM LOCAL COM NÍVEL ALTO DE INTERFERÊNCIA. AF_06/2016</v>
      </c>
      <c r="E1508" s="49" t="str">
        <f>'[3]Plan Tron'!E89</f>
        <v>M²</v>
      </c>
      <c r="F1508" s="21">
        <v>1658.47</v>
      </c>
      <c r="G1508" s="9">
        <v>3.24</v>
      </c>
      <c r="H1508" s="9">
        <f>'[3]Plan Tron'!F89</f>
        <v>5.53</v>
      </c>
      <c r="I1508" s="9">
        <v>26.44</v>
      </c>
      <c r="J1508" s="9">
        <f t="shared" si="186"/>
        <v>6.99</v>
      </c>
      <c r="K1508" s="383">
        <v>0</v>
      </c>
      <c r="L1508" s="474">
        <f>F1508-K1508</f>
        <v>1658.47</v>
      </c>
      <c r="M1508" s="471">
        <f t="shared" si="184"/>
        <v>11592.71</v>
      </c>
      <c r="N1508" s="405"/>
      <c r="O1508" s="541"/>
      <c r="P1508" s="405"/>
      <c r="Q1508" s="405"/>
      <c r="S1508" s="344" t="str">
        <f t="shared" si="185"/>
        <v>PREPARO DE FUNDO DE VALA COM LARGURA MENOR QUE 1,5 M, EM LOCAL COM NÍVEL ALTO DE INTERFERÊNCIA. AF_06/2016</v>
      </c>
    </row>
    <row r="1509" spans="1:19" s="414" customFormat="1">
      <c r="A1509" s="410" t="s">
        <v>5</v>
      </c>
      <c r="B1509" s="411"/>
      <c r="C1509" s="410"/>
      <c r="D1509" s="434" t="s">
        <v>2046</v>
      </c>
      <c r="E1509" s="424" t="s">
        <v>76</v>
      </c>
      <c r="F1509" s="422"/>
      <c r="G1509" s="412"/>
      <c r="H1509" s="412"/>
      <c r="I1509" s="412"/>
      <c r="J1509" s="9"/>
      <c r="K1509" s="498"/>
      <c r="L1509" s="474"/>
      <c r="M1509" s="471"/>
      <c r="N1509" s="419"/>
      <c r="O1509" s="541"/>
      <c r="P1509" s="419"/>
      <c r="Q1509" s="419"/>
      <c r="S1509" s="414" t="str">
        <f t="shared" si="185"/>
        <v>CARGA, DESCARGA E/OU TRANSPORTE DE MATERIAIS</v>
      </c>
    </row>
    <row r="1510" spans="1:19" s="344" customFormat="1">
      <c r="A1510" s="49" t="s">
        <v>346</v>
      </c>
      <c r="B1510" s="49">
        <f>'[3]Plan Tron'!B13</f>
        <v>72885</v>
      </c>
      <c r="C1510" s="49" t="str">
        <f>'[3]Plan Tron'!C13</f>
        <v>SINAPI</v>
      </c>
      <c r="D1510" s="612" t="str">
        <f>'[3]Plan Tron'!D13</f>
        <v>TRANSPORTE COMERCIAL COM CAMINHAO BASCULANTE 6 M3, RODOVIA EM LEITO NATURAL</v>
      </c>
      <c r="E1510" s="49" t="str">
        <f>'[3]Plan Tron'!E13</f>
        <v>M³ X KM</v>
      </c>
      <c r="F1510" s="21">
        <v>2297.13</v>
      </c>
      <c r="G1510" s="9">
        <v>1.03</v>
      </c>
      <c r="H1510" s="9">
        <f>'[3]Plan Tron'!F13</f>
        <v>1.37</v>
      </c>
      <c r="I1510" s="9">
        <v>26.44</v>
      </c>
      <c r="J1510" s="9">
        <f t="shared" si="186"/>
        <v>1.73</v>
      </c>
      <c r="K1510" s="383">
        <v>0</v>
      </c>
      <c r="L1510" s="474">
        <f>F1510-K1510</f>
        <v>2297.13</v>
      </c>
      <c r="M1510" s="471">
        <f t="shared" si="184"/>
        <v>3974.03</v>
      </c>
      <c r="N1510" s="405"/>
      <c r="O1510" s="541"/>
      <c r="P1510" s="405"/>
      <c r="Q1510" s="405"/>
      <c r="S1510" s="344" t="str">
        <f t="shared" si="185"/>
        <v>TRANSPORTE COMERCIAL COM CAMINHAO BASCULANTE 6 M3, RODOVIA EM LEITO NATURAL</v>
      </c>
    </row>
    <row r="1511" spans="1:19" s="344" customFormat="1" ht="25.5">
      <c r="A1511" s="49" t="s">
        <v>706</v>
      </c>
      <c r="B1511" s="49">
        <f>'[3]Plan Tron'!B14</f>
        <v>72888</v>
      </c>
      <c r="C1511" s="49" t="str">
        <f>'[3]Plan Tron'!C14</f>
        <v>SINAPI</v>
      </c>
      <c r="D1511" s="614" t="str">
        <f>'[3]Plan Tron'!D14</f>
        <v>CARGA, MANOBRAS E DESCARGA DE AREIA, BRITA, PEDRA DE MAO E SOLOS COM CAMINHAO BASCULANTE 6 M3 (DESCARGA LIVRE)</v>
      </c>
      <c r="E1511" s="49" t="str">
        <f>'[3]Plan Tron'!E14</f>
        <v>M³</v>
      </c>
      <c r="F1511" s="21">
        <v>459.43</v>
      </c>
      <c r="G1511" s="9">
        <v>0.81</v>
      </c>
      <c r="H1511" s="9">
        <f>'[3]Plan Tron'!F14</f>
        <v>0.96</v>
      </c>
      <c r="I1511" s="9">
        <v>26.44</v>
      </c>
      <c r="J1511" s="9">
        <f t="shared" si="186"/>
        <v>1.21</v>
      </c>
      <c r="K1511" s="383">
        <v>0</v>
      </c>
      <c r="L1511" s="474">
        <f>F1511-K1511</f>
        <v>459.43</v>
      </c>
      <c r="M1511" s="471">
        <f t="shared" si="184"/>
        <v>555.91</v>
      </c>
      <c r="N1511" s="405"/>
      <c r="O1511" s="541"/>
      <c r="P1511" s="405"/>
      <c r="Q1511" s="405"/>
      <c r="S1511" s="344" t="str">
        <f t="shared" si="185"/>
        <v>CARGA, MANOBRAS E DESCARGA DE AREIA, BRITA, PEDRA DE MAO E SOLOS COM CAMINHAO BASCULANTE 6 M3 (DESCARGA LIVRE)</v>
      </c>
    </row>
    <row r="1512" spans="1:19" s="344" customFormat="1">
      <c r="A1512" s="49"/>
      <c r="B1512" s="17"/>
      <c r="C1512" s="49"/>
      <c r="D1512" s="17"/>
      <c r="E1512" s="7"/>
      <c r="F1512" s="10"/>
      <c r="G1512" s="314"/>
      <c r="H1512" s="27"/>
      <c r="I1512" s="9"/>
      <c r="J1512" s="9"/>
      <c r="K1512" s="17"/>
      <c r="L1512" s="474"/>
      <c r="M1512" s="471"/>
      <c r="N1512" s="405"/>
      <c r="O1512" s="541"/>
      <c r="P1512" s="405"/>
      <c r="Q1512" s="405"/>
    </row>
    <row r="1513" spans="1:19" s="344" customFormat="1">
      <c r="A1513" s="49"/>
      <c r="B1513" s="17"/>
      <c r="C1513" s="49"/>
      <c r="D1513" s="53" t="s">
        <v>76</v>
      </c>
      <c r="E1513" s="7" t="s">
        <v>76</v>
      </c>
      <c r="F1513" s="10"/>
      <c r="G1513" s="314"/>
      <c r="H1513" s="27"/>
      <c r="I1513" s="9"/>
      <c r="J1513" s="9"/>
      <c r="K1513" s="383"/>
      <c r="L1513" s="474"/>
      <c r="M1513" s="471"/>
      <c r="N1513" s="405"/>
      <c r="O1513" s="541"/>
      <c r="P1513" s="405"/>
      <c r="Q1513" s="405"/>
      <c r="S1513" s="344" t="str">
        <f>UPPER(D1513)</f>
        <v/>
      </c>
    </row>
    <row r="1514" spans="1:19" s="344" customFormat="1">
      <c r="A1514" s="45">
        <v>3</v>
      </c>
      <c r="B1514" s="25"/>
      <c r="C1514" s="45"/>
      <c r="D1514" s="399" t="s">
        <v>2047</v>
      </c>
      <c r="E1514" s="24" t="s">
        <v>76</v>
      </c>
      <c r="F1514" s="21"/>
      <c r="G1514" s="314"/>
      <c r="H1514" s="27"/>
      <c r="I1514" s="9"/>
      <c r="J1514" s="9"/>
      <c r="K1514" s="383"/>
      <c r="L1514" s="474"/>
      <c r="M1514" s="471"/>
      <c r="N1514" s="405"/>
      <c r="O1514" s="541"/>
      <c r="P1514" s="405"/>
      <c r="Q1514" s="405"/>
      <c r="S1514" s="344" t="str">
        <f>UPPER(D1514)</f>
        <v>DRENAGEM / POÇOS DE VISITA E CAIXAS</v>
      </c>
    </row>
    <row r="1515" spans="1:19" s="414" customFormat="1">
      <c r="A1515" s="410" t="s">
        <v>144</v>
      </c>
      <c r="B1515" s="432"/>
      <c r="C1515" s="431"/>
      <c r="D1515" s="434" t="s">
        <v>2274</v>
      </c>
      <c r="E1515" s="424" t="s">
        <v>76</v>
      </c>
      <c r="F1515" s="422"/>
      <c r="G1515" s="427"/>
      <c r="H1515" s="619"/>
      <c r="I1515" s="412"/>
      <c r="J1515" s="412"/>
      <c r="K1515" s="498"/>
      <c r="L1515" s="474"/>
      <c r="M1515" s="471"/>
      <c r="N1515" s="419"/>
      <c r="O1515" s="541"/>
      <c r="P1515" s="419"/>
      <c r="Q1515" s="419"/>
      <c r="S1515" s="414" t="str">
        <f>UPPER(D1515)</f>
        <v>POÇO DE VISITA  ANEL CONCRETO  P/ COLETOR DE ESGOTO SANITÁRIO</v>
      </c>
    </row>
    <row r="1516" spans="1:19" s="344" customFormat="1" ht="25.5">
      <c r="A1516" s="49" t="s">
        <v>143</v>
      </c>
      <c r="B1516" s="11" t="s">
        <v>1571</v>
      </c>
      <c r="C1516" s="49" t="s">
        <v>2015</v>
      </c>
      <c r="D1516" s="84" t="s">
        <v>2275</v>
      </c>
      <c r="E1516" s="24" t="s">
        <v>2342</v>
      </c>
      <c r="F1516" s="21">
        <v>5</v>
      </c>
      <c r="G1516" s="27">
        <v>1996.7</v>
      </c>
      <c r="H1516" s="9">
        <f t="shared" ref="H1516" si="187">G1516*$P$7</f>
        <v>2306.7875100000001</v>
      </c>
      <c r="I1516" s="9">
        <v>26.44</v>
      </c>
      <c r="J1516" s="9">
        <f>ROUND(H1516*(I1516/100+1),2)</f>
        <v>2916.7</v>
      </c>
      <c r="K1516" s="383">
        <v>0</v>
      </c>
      <c r="L1516" s="474">
        <f>F1516-K1516</f>
        <v>5</v>
      </c>
      <c r="M1516" s="471">
        <f t="shared" si="184"/>
        <v>14583.5</v>
      </c>
      <c r="N1516" s="405"/>
      <c r="O1516" s="541"/>
      <c r="P1516" s="405"/>
      <c r="Q1516" s="405"/>
      <c r="S1516" s="344" t="str">
        <f>UPPER(D1516)</f>
        <v>POÇO DE VISITA  PARA REDE DE ESGOTO SANITÁRIO, EM ANÉIS DE CONCRETO , DIÂMETRO DE 60CM E 110CM, PROF=350CM, INCLUINDO DEGRAU , EXCLUINDO FERRO DE  FUNDIDO.</v>
      </c>
    </row>
    <row r="1517" spans="1:19" s="344" customFormat="1">
      <c r="A1517" s="49"/>
      <c r="B1517" s="17"/>
      <c r="C1517" s="49"/>
      <c r="D1517" s="17"/>
      <c r="E1517" s="7"/>
      <c r="F1517" s="10"/>
      <c r="G1517" s="312"/>
      <c r="H1517" s="9"/>
      <c r="I1517" s="9"/>
      <c r="J1517" s="9"/>
      <c r="K1517" s="17"/>
      <c r="L1517" s="474"/>
      <c r="M1517" s="471"/>
      <c r="N1517" s="405"/>
      <c r="O1517" s="541"/>
      <c r="P1517" s="405"/>
      <c r="Q1517" s="405"/>
    </row>
    <row r="1518" spans="1:19" s="344" customFormat="1">
      <c r="A1518" s="49"/>
      <c r="B1518" s="17"/>
      <c r="C1518" s="49"/>
      <c r="D1518" s="53" t="s">
        <v>76</v>
      </c>
      <c r="E1518" s="7" t="s">
        <v>76</v>
      </c>
      <c r="F1518" s="10"/>
      <c r="G1518" s="27"/>
      <c r="H1518" s="27"/>
      <c r="I1518" s="9"/>
      <c r="J1518" s="9"/>
      <c r="K1518" s="383"/>
      <c r="L1518" s="474"/>
      <c r="M1518" s="471"/>
      <c r="N1518" s="405"/>
      <c r="O1518" s="541"/>
      <c r="P1518" s="405"/>
      <c r="Q1518" s="405"/>
      <c r="S1518" s="344" t="str">
        <f>UPPER(D1518)</f>
        <v/>
      </c>
    </row>
    <row r="1519" spans="1:19" s="344" customFormat="1">
      <c r="A1519" s="45">
        <v>4</v>
      </c>
      <c r="B1519" s="14"/>
      <c r="C1519" s="45"/>
      <c r="D1519" s="53" t="s">
        <v>2157</v>
      </c>
      <c r="E1519" s="7" t="s">
        <v>76</v>
      </c>
      <c r="F1519" s="10"/>
      <c r="G1519" s="9"/>
      <c r="H1519" s="9"/>
      <c r="I1519" s="9"/>
      <c r="J1519" s="9"/>
      <c r="K1519" s="383"/>
      <c r="L1519" s="474"/>
      <c r="M1519" s="471"/>
      <c r="N1519" s="405"/>
      <c r="O1519" s="541"/>
      <c r="P1519" s="405"/>
      <c r="Q1519" s="405"/>
      <c r="S1519" s="344" t="str">
        <f>UPPER(D1519)</f>
        <v>ESCORAMENTO</v>
      </c>
    </row>
    <row r="1520" spans="1:19" s="414" customFormat="1">
      <c r="A1520" s="410" t="s">
        <v>139</v>
      </c>
      <c r="B1520" s="646"/>
      <c r="C1520" s="410"/>
      <c r="D1520" s="647" t="s">
        <v>2158</v>
      </c>
      <c r="E1520" s="617" t="s">
        <v>76</v>
      </c>
      <c r="F1520" s="413"/>
      <c r="G1520" s="412"/>
      <c r="H1520" s="412"/>
      <c r="I1520" s="412"/>
      <c r="J1520" s="412"/>
      <c r="K1520" s="498"/>
      <c r="L1520" s="474"/>
      <c r="M1520" s="471"/>
      <c r="N1520" s="419"/>
      <c r="O1520" s="541"/>
      <c r="P1520" s="419"/>
      <c r="Q1520" s="419"/>
      <c r="S1520" s="414" t="str">
        <f>UPPER(D1520)</f>
        <v>ESCORAMENTO DE MADEIRA EM VALAS</v>
      </c>
    </row>
    <row r="1521" spans="1:19" s="344" customFormat="1" ht="25.5">
      <c r="A1521" s="49" t="s">
        <v>138</v>
      </c>
      <c r="B1521" s="49">
        <f>'[3]Plan Tron'!B160</f>
        <v>94050</v>
      </c>
      <c r="C1521" s="49" t="str">
        <f>'[3]Plan Tron'!C160</f>
        <v>SINAPI</v>
      </c>
      <c r="D1521" s="614" t="str">
        <f>'[3]Plan Tron'!D160</f>
        <v xml:space="preserve"> ESCORAMENTO DE VALA, TIPO DESCONTÍNUO, COM PROFUNDIDADE DE 0 A 1,5 M, LARGURA MAIOR OU IGUAL A 1,5 M E MENOR QUE 2,5 M, EM LOCAL COM NÍVEL ALTO DE INTERFERÊNCIA. AF_06/2016</v>
      </c>
      <c r="E1521" s="49" t="str">
        <f>'[3]Plan Tron'!E160</f>
        <v>M²</v>
      </c>
      <c r="F1521" s="21">
        <v>159.79</v>
      </c>
      <c r="G1521" s="19">
        <v>29.91</v>
      </c>
      <c r="H1521" s="19">
        <f>'[3]Plan Tron'!F160</f>
        <v>30.61</v>
      </c>
      <c r="I1521" s="9">
        <v>26.44</v>
      </c>
      <c r="J1521" s="9">
        <f>ROUND(H1521*(I1521/100+1),2)</f>
        <v>38.700000000000003</v>
      </c>
      <c r="K1521" s="383">
        <v>0</v>
      </c>
      <c r="L1521" s="474">
        <f>F1521-K1521</f>
        <v>159.79</v>
      </c>
      <c r="M1521" s="471">
        <f t="shared" si="184"/>
        <v>6183.87</v>
      </c>
      <c r="N1521" s="405"/>
      <c r="O1521" s="541"/>
      <c r="P1521" s="405"/>
      <c r="Q1521" s="405"/>
      <c r="S1521" s="344" t="str">
        <f>UPPER(D1521)</f>
        <v xml:space="preserve"> ESCORAMENTO DE VALA, TIPO DESCONTÍNUO, COM PROFUNDIDADE DE 0 A 1,5 M, LARGURA MAIOR OU IGUAL A 1,5 M E MENOR QUE 2,5 M, EM LOCAL COM NÍVEL ALTO DE INTERFERÊNCIA. AF_06/2016</v>
      </c>
    </row>
    <row r="1522" spans="1:19" s="344" customFormat="1">
      <c r="A1522" s="49" t="s">
        <v>437</v>
      </c>
      <c r="B1522" s="49">
        <f>'[3]Plan Tron'!B196</f>
        <v>80102</v>
      </c>
      <c r="C1522" s="49" t="str">
        <f>'[3]Plan Tron'!C196</f>
        <v>CPOS</v>
      </c>
      <c r="D1522" s="612" t="str">
        <f>UPPER('[3]Plan Tron'!D196)</f>
        <v xml:space="preserve">ESCORAMENTO DE SOLO CONTÍNUO </v>
      </c>
      <c r="E1522" s="49" t="str">
        <f>'[3]Plan Tron'!E196</f>
        <v>M²</v>
      </c>
      <c r="F1522" s="21">
        <v>692.05</v>
      </c>
      <c r="G1522" s="9">
        <v>42.42</v>
      </c>
      <c r="H1522" s="9">
        <f>'[3]Plan Tron'!F196</f>
        <v>47.53</v>
      </c>
      <c r="I1522" s="9">
        <v>26.44</v>
      </c>
      <c r="J1522" s="9">
        <f>ROUND(H1522*(I1522/100+1),2)</f>
        <v>60.1</v>
      </c>
      <c r="K1522" s="383">
        <v>0</v>
      </c>
      <c r="L1522" s="474">
        <f>F1522-K1522</f>
        <v>692.05</v>
      </c>
      <c r="M1522" s="471">
        <f t="shared" si="184"/>
        <v>41592.21</v>
      </c>
      <c r="N1522" s="405"/>
      <c r="O1522" s="541"/>
      <c r="P1522" s="405"/>
      <c r="Q1522" s="405"/>
      <c r="S1522" s="344" t="str">
        <f>UPPER(D1522)</f>
        <v xml:space="preserve">ESCORAMENTO DE SOLO CONTÍNUO </v>
      </c>
    </row>
    <row r="1523" spans="1:19" s="344" customFormat="1">
      <c r="A1523" s="49"/>
      <c r="B1523" s="17"/>
      <c r="C1523" s="49"/>
      <c r="D1523" s="17"/>
      <c r="E1523" s="7"/>
      <c r="F1523" s="10"/>
      <c r="G1523" s="27"/>
      <c r="H1523" s="27"/>
      <c r="I1523" s="9"/>
      <c r="J1523" s="9"/>
      <c r="K1523" s="17"/>
      <c r="L1523" s="474"/>
      <c r="M1523" s="471"/>
      <c r="N1523" s="405"/>
      <c r="O1523" s="541"/>
      <c r="P1523" s="405"/>
      <c r="Q1523" s="405"/>
    </row>
    <row r="1524" spans="1:19" s="344" customFormat="1">
      <c r="A1524" s="49"/>
      <c r="B1524" s="17"/>
      <c r="C1524" s="49"/>
      <c r="D1524" s="53" t="s">
        <v>76</v>
      </c>
      <c r="E1524" s="7" t="s">
        <v>76</v>
      </c>
      <c r="F1524" s="10"/>
      <c r="G1524" s="27"/>
      <c r="H1524" s="27"/>
      <c r="I1524" s="9"/>
      <c r="J1524" s="9"/>
      <c r="K1524" s="383"/>
      <c r="L1524" s="474"/>
      <c r="M1524" s="471"/>
      <c r="N1524" s="405"/>
      <c r="O1524" s="541"/>
      <c r="P1524" s="405"/>
      <c r="Q1524" s="405"/>
      <c r="S1524" s="344" t="str">
        <f t="shared" ref="S1524:S1533" si="188">UPPER(D1524)</f>
        <v/>
      </c>
    </row>
    <row r="1525" spans="1:19" s="344" customFormat="1">
      <c r="A1525" s="45">
        <v>5</v>
      </c>
      <c r="B1525" s="14"/>
      <c r="C1525" s="45"/>
      <c r="D1525" s="53" t="s">
        <v>2122</v>
      </c>
      <c r="E1525" s="7" t="s">
        <v>76</v>
      </c>
      <c r="F1525" s="10"/>
      <c r="G1525" s="9"/>
      <c r="H1525" s="9"/>
      <c r="I1525" s="9"/>
      <c r="J1525" s="9"/>
      <c r="K1525" s="383"/>
      <c r="L1525" s="474"/>
      <c r="M1525" s="471"/>
      <c r="N1525" s="405"/>
      <c r="O1525" s="541"/>
      <c r="P1525" s="405"/>
      <c r="Q1525" s="405"/>
      <c r="S1525" s="344" t="str">
        <f t="shared" si="188"/>
        <v>ASSENTAMENTO DE TUBOS E PEÇAS</v>
      </c>
    </row>
    <row r="1526" spans="1:19" s="414" customFormat="1">
      <c r="A1526" s="410" t="s">
        <v>136</v>
      </c>
      <c r="B1526" s="411"/>
      <c r="C1526" s="410"/>
      <c r="D1526" s="429" t="s">
        <v>2159</v>
      </c>
      <c r="E1526" s="617" t="s">
        <v>76</v>
      </c>
      <c r="F1526" s="422"/>
      <c r="G1526" s="412"/>
      <c r="H1526" s="412"/>
      <c r="I1526" s="412"/>
      <c r="J1526" s="412"/>
      <c r="K1526" s="498"/>
      <c r="L1526" s="474"/>
      <c r="M1526" s="471"/>
      <c r="N1526" s="419"/>
      <c r="O1526" s="541"/>
      <c r="P1526" s="419"/>
      <c r="Q1526" s="419"/>
      <c r="S1526" s="414" t="str">
        <f t="shared" si="188"/>
        <v>FORNECIMENTO E/OU ASSENTAMENTO DE TUBO DE FERRO FUNDIDO COM JUNTA ELÁSTICA.</v>
      </c>
    </row>
    <row r="1527" spans="1:19" s="414" customFormat="1">
      <c r="A1527" s="410" t="s">
        <v>135</v>
      </c>
      <c r="B1527" s="411"/>
      <c r="C1527" s="410"/>
      <c r="D1527" s="434" t="s">
        <v>2160</v>
      </c>
      <c r="E1527" s="424" t="s">
        <v>76</v>
      </c>
      <c r="F1527" s="422"/>
      <c r="G1527" s="412"/>
      <c r="H1527" s="412"/>
      <c r="I1527" s="412"/>
      <c r="J1527" s="412"/>
      <c r="K1527" s="498"/>
      <c r="L1527" s="474"/>
      <c r="M1527" s="471"/>
      <c r="N1527" s="419"/>
      <c r="O1527" s="541"/>
      <c r="P1527" s="419"/>
      <c r="Q1527" s="419"/>
      <c r="S1527" s="414" t="str">
        <f t="shared" si="188"/>
        <v>ASSENTAMENTO DE TUBO DE FERRO FUNDIDO COM JUNTA ELÁSTICA.</v>
      </c>
    </row>
    <row r="1528" spans="1:19" s="344" customFormat="1" ht="25.5">
      <c r="A1528" s="49" t="s">
        <v>134</v>
      </c>
      <c r="B1528" s="49" t="str">
        <f>'[3]Plan Tron'!B103</f>
        <v xml:space="preserve">73887/011 </v>
      </c>
      <c r="C1528" s="49" t="str">
        <f>'[3]Plan Tron'!C103</f>
        <v>SINAPI</v>
      </c>
      <c r="D1528" s="614" t="str">
        <f>'[3]Plan Tron'!D103</f>
        <v>ASSENTAMENTO SIMPLES DE TUBOS DE FERRO FUNDIDO (FOFO) C/ JUNTA ELASTICA - DN 600 MM - INCLUSIVE TRANSPORTE</v>
      </c>
      <c r="E1528" s="49" t="str">
        <f>'[3]Plan Tron'!E103</f>
        <v>M</v>
      </c>
      <c r="F1528" s="21">
        <v>88.89</v>
      </c>
      <c r="G1528" s="27">
        <v>21.3</v>
      </c>
      <c r="H1528" s="27">
        <f>'[3]Plan Tron'!F103</f>
        <v>22.3</v>
      </c>
      <c r="I1528" s="9">
        <v>26.44</v>
      </c>
      <c r="J1528" s="9">
        <f>ROUND(H1528*(I1528/100+1),2)</f>
        <v>28.2</v>
      </c>
      <c r="K1528" s="383">
        <v>0</v>
      </c>
      <c r="L1528" s="474">
        <f>F1528-K1528</f>
        <v>88.89</v>
      </c>
      <c r="M1528" s="471">
        <f t="shared" si="184"/>
        <v>2506.6999999999998</v>
      </c>
      <c r="N1528" s="405"/>
      <c r="O1528" s="541"/>
      <c r="P1528" s="405"/>
      <c r="Q1528" s="405"/>
      <c r="S1528" s="344" t="str">
        <f t="shared" si="188"/>
        <v>ASSENTAMENTO SIMPLES DE TUBOS DE FERRO FUNDIDO (FOFO) C/ JUNTA ELASTICA - DN 600 MM - INCLUSIVE TRANSPORTE</v>
      </c>
    </row>
    <row r="1529" spans="1:19" s="414" customFormat="1">
      <c r="A1529" s="410" t="s">
        <v>133</v>
      </c>
      <c r="B1529" s="411"/>
      <c r="C1529" s="410"/>
      <c r="D1529" s="434" t="s">
        <v>2276</v>
      </c>
      <c r="E1529" s="424" t="s">
        <v>76</v>
      </c>
      <c r="F1529" s="422"/>
      <c r="G1529" s="619"/>
      <c r="H1529" s="619"/>
      <c r="I1529" s="412"/>
      <c r="J1529" s="412"/>
      <c r="K1529" s="498"/>
      <c r="L1529" s="474"/>
      <c r="M1529" s="471"/>
      <c r="N1529" s="419"/>
      <c r="O1529" s="541"/>
      <c r="P1529" s="419"/>
      <c r="Q1529" s="419"/>
      <c r="S1529" s="414" t="str">
        <f t="shared" si="188"/>
        <v>FORNECIMENTO  E/ OU  ASSENTAMENTO DE TUBO DE PVC  COM JUNTA ELÁSTICA.</v>
      </c>
    </row>
    <row r="1530" spans="1:19" s="414" customFormat="1">
      <c r="A1530" s="410" t="s">
        <v>132</v>
      </c>
      <c r="B1530" s="411"/>
      <c r="C1530" s="410"/>
      <c r="D1530" s="434" t="s">
        <v>2277</v>
      </c>
      <c r="E1530" s="424" t="s">
        <v>76</v>
      </c>
      <c r="F1530" s="422"/>
      <c r="G1530" s="619"/>
      <c r="H1530" s="619"/>
      <c r="I1530" s="412"/>
      <c r="J1530" s="412"/>
      <c r="K1530" s="498"/>
      <c r="L1530" s="474"/>
      <c r="M1530" s="471"/>
      <c r="N1530" s="419"/>
      <c r="O1530" s="541"/>
      <c r="P1530" s="419"/>
      <c r="Q1530" s="419"/>
      <c r="S1530" s="414" t="str">
        <f t="shared" si="188"/>
        <v>ASSENTAMENTO TUBO PVC, RPVC, PVC DEFOFO, PRFV, PARA ESGOTO COM JE.</v>
      </c>
    </row>
    <row r="1531" spans="1:19" s="344" customFormat="1">
      <c r="A1531" s="49" t="s">
        <v>131</v>
      </c>
      <c r="B1531" s="49" t="str">
        <f>'[3]Plan Tron'!B104</f>
        <v xml:space="preserve">73888/003 </v>
      </c>
      <c r="C1531" s="49" t="str">
        <f>'[3]Plan Tron'!C104</f>
        <v>SINAPI</v>
      </c>
      <c r="D1531" s="49" t="str">
        <f>'[3]Plan Tron'!D104</f>
        <v>ASSENTAMENTO TUBO PVC COM JUNTA ELASTICA, DN 100 MM - (OU RPVC, OU PVC DEFOFO, OU PRFV) - PARA AGUA.</v>
      </c>
      <c r="E1531" s="49" t="str">
        <f>'[3]Plan Tron'!E104</f>
        <v>M</v>
      </c>
      <c r="F1531" s="21">
        <v>112.41</v>
      </c>
      <c r="G1531" s="27">
        <v>2.95</v>
      </c>
      <c r="H1531" s="27">
        <f>'[3]Plan Tron'!F104</f>
        <v>2.92</v>
      </c>
      <c r="I1531" s="9">
        <v>26.44</v>
      </c>
      <c r="J1531" s="9">
        <f>ROUND(H1531*(I1531/100+1),2)</f>
        <v>3.69</v>
      </c>
      <c r="K1531" s="383">
        <v>0</v>
      </c>
      <c r="L1531" s="474">
        <f>F1531-K1531</f>
        <v>112.41</v>
      </c>
      <c r="M1531" s="471">
        <f t="shared" si="184"/>
        <v>414.79</v>
      </c>
      <c r="N1531" s="405"/>
      <c r="O1531" s="541"/>
      <c r="P1531" s="405"/>
      <c r="Q1531" s="405"/>
      <c r="S1531" s="344" t="str">
        <f t="shared" si="188"/>
        <v>ASSENTAMENTO TUBO PVC COM JUNTA ELASTICA, DN 100 MM - (OU RPVC, OU PVC DEFOFO, OU PRFV) - PARA AGUA.</v>
      </c>
    </row>
    <row r="1532" spans="1:19" s="414" customFormat="1">
      <c r="A1532" s="410" t="s">
        <v>126</v>
      </c>
      <c r="B1532" s="411"/>
      <c r="C1532" s="431"/>
      <c r="D1532" s="434" t="s">
        <v>2278</v>
      </c>
      <c r="E1532" s="424"/>
      <c r="F1532" s="436"/>
      <c r="G1532" s="427"/>
      <c r="H1532" s="619"/>
      <c r="I1532" s="412"/>
      <c r="J1532" s="412"/>
      <c r="K1532" s="498"/>
      <c r="L1532" s="474"/>
      <c r="M1532" s="471"/>
      <c r="N1532" s="419"/>
      <c r="O1532" s="541"/>
      <c r="P1532" s="419"/>
      <c r="Q1532" s="419"/>
      <c r="S1532" s="414" t="str">
        <f t="shared" si="188"/>
        <v>FORNECIMENTO E/OU ASSENTAMENTO DE HIDRANTES, TAMPÕES E PEÇAS ESPECIAIS.</v>
      </c>
    </row>
    <row r="1533" spans="1:19" s="344" customFormat="1">
      <c r="A1533" s="49" t="s">
        <v>125</v>
      </c>
      <c r="B1533" s="11" t="s">
        <v>1570</v>
      </c>
      <c r="C1533" s="49" t="s">
        <v>2015</v>
      </c>
      <c r="D1533" s="84" t="s">
        <v>2279</v>
      </c>
      <c r="E1533" s="24" t="s">
        <v>2339</v>
      </c>
      <c r="F1533" s="21">
        <v>8</v>
      </c>
      <c r="G1533" s="27">
        <v>52.26</v>
      </c>
      <c r="H1533" s="9">
        <f t="shared" ref="H1533" si="189">G1533*$P$7</f>
        <v>60.375977999999996</v>
      </c>
      <c r="I1533" s="9">
        <v>26.44</v>
      </c>
      <c r="J1533" s="9">
        <f>ROUND(H1533*(I1533/100+1),2)</f>
        <v>76.34</v>
      </c>
      <c r="K1533" s="383">
        <v>0</v>
      </c>
      <c r="L1533" s="474">
        <f>F1533-K1533</f>
        <v>8</v>
      </c>
      <c r="M1533" s="471">
        <f t="shared" si="184"/>
        <v>610.72</v>
      </c>
      <c r="N1533" s="405"/>
      <c r="O1533" s="541"/>
      <c r="P1533" s="405"/>
      <c r="Q1533" s="405"/>
      <c r="S1533" s="344" t="str">
        <f t="shared" si="188"/>
        <v>ASSENTAMENTO DE TAMPÃO DE FERRO FUNDIDO 600MM</v>
      </c>
    </row>
    <row r="1534" spans="1:19" s="344" customFormat="1">
      <c r="A1534" s="49"/>
      <c r="B1534" s="17"/>
      <c r="C1534" s="49"/>
      <c r="D1534" s="17"/>
      <c r="E1534" s="7"/>
      <c r="F1534" s="10"/>
      <c r="G1534" s="312"/>
      <c r="H1534" s="9"/>
      <c r="I1534" s="9"/>
      <c r="J1534" s="9"/>
      <c r="K1534" s="17"/>
      <c r="L1534" s="474"/>
      <c r="M1534" s="471"/>
      <c r="N1534" s="405"/>
      <c r="O1534" s="541"/>
      <c r="P1534" s="405"/>
      <c r="Q1534" s="405"/>
    </row>
    <row r="1535" spans="1:19" s="344" customFormat="1">
      <c r="A1535" s="49"/>
      <c r="B1535" s="17"/>
      <c r="C1535" s="49"/>
      <c r="D1535" s="17"/>
      <c r="E1535" s="7"/>
      <c r="F1535" s="10"/>
      <c r="G1535" s="312"/>
      <c r="H1535" s="9"/>
      <c r="I1535" s="9"/>
      <c r="J1535" s="9"/>
      <c r="K1535" s="383"/>
      <c r="L1535" s="474"/>
      <c r="M1535" s="471"/>
      <c r="N1535" s="405"/>
      <c r="O1535" s="541"/>
      <c r="P1535" s="405"/>
      <c r="Q1535" s="405"/>
    </row>
    <row r="1536" spans="1:19">
      <c r="A1536" s="67">
        <v>6</v>
      </c>
      <c r="B1536" s="68"/>
      <c r="C1536" s="67"/>
      <c r="D1536" s="400" t="s">
        <v>2109</v>
      </c>
      <c r="E1536" s="32"/>
      <c r="F1536" s="8"/>
      <c r="G1536" s="321"/>
      <c r="H1536" s="33"/>
      <c r="I1536" s="9"/>
      <c r="J1536" s="9"/>
      <c r="K1536" s="383"/>
      <c r="L1536" s="474"/>
      <c r="M1536" s="471"/>
      <c r="N1536" s="405"/>
      <c r="O1536" s="541"/>
      <c r="P1536" s="405"/>
      <c r="Q1536" s="405"/>
      <c r="S1536" s="344" t="str">
        <f>UPPER(D1536)</f>
        <v>MONTAGEM DE MATERIAIS E EQUIPAMENTOS HIDRÁULICOS, HIDROMECÂNICOS E DIVERSOS</v>
      </c>
    </row>
    <row r="1537" spans="1:37" s="344" customFormat="1" ht="25.5">
      <c r="A1537" s="69" t="s">
        <v>120</v>
      </c>
      <c r="B1537" s="11" t="s">
        <v>308</v>
      </c>
      <c r="C1537" s="69"/>
      <c r="D1537" s="84" t="s">
        <v>2280</v>
      </c>
      <c r="E1537" s="24" t="s">
        <v>2341</v>
      </c>
      <c r="F1537" s="10">
        <v>1</v>
      </c>
      <c r="G1537" s="27">
        <v>33299.919999999998</v>
      </c>
      <c r="H1537" s="9">
        <f t="shared" ref="H1537" si="190">G1537*$P$7</f>
        <v>38471.397575999996</v>
      </c>
      <c r="I1537" s="9">
        <v>26.44</v>
      </c>
      <c r="J1537" s="9">
        <f>ROUND(H1537*(I1537/100+1),2)</f>
        <v>48643.24</v>
      </c>
      <c r="K1537" s="383">
        <v>0</v>
      </c>
      <c r="L1537" s="474">
        <f>F1537-K1537</f>
        <v>1</v>
      </c>
      <c r="M1537" s="471">
        <f t="shared" si="184"/>
        <v>48643.24</v>
      </c>
      <c r="N1537" s="405"/>
      <c r="O1537" s="541"/>
      <c r="P1537" s="405"/>
      <c r="Q1537" s="405"/>
      <c r="S1537" s="344" t="str">
        <f>UPPER(D1537)</f>
        <v>MONTAGEM E ASSENTAMENTO DE TUBULAÇÕES DE AÇO CARBONO INCLUINDO SOLDAGEM EM CAMPO E REPARO DO REVESTIMENTO DAS JUNTAS.</v>
      </c>
    </row>
    <row r="1538" spans="1:37">
      <c r="A1538" s="69"/>
      <c r="B1538" s="112"/>
      <c r="C1538" s="69"/>
      <c r="D1538" s="112"/>
      <c r="E1538" s="140"/>
      <c r="F1538" s="8"/>
      <c r="G1538" s="323"/>
      <c r="H1538" s="141"/>
      <c r="I1538" s="141"/>
      <c r="J1538" s="141"/>
      <c r="K1538" s="112"/>
      <c r="L1538" s="474"/>
      <c r="M1538" s="472"/>
      <c r="N1538" s="405"/>
      <c r="O1538" s="541"/>
      <c r="P1538" s="405"/>
      <c r="Q1538" s="405"/>
    </row>
    <row r="1539" spans="1:37" s="299" customFormat="1">
      <c r="A1539" s="297"/>
      <c r="B1539" s="298"/>
      <c r="C1539" s="298"/>
      <c r="D1539" s="341"/>
      <c r="E1539" s="297"/>
      <c r="F1539" s="298"/>
      <c r="G1539" s="301"/>
      <c r="H1539" s="338"/>
      <c r="I1539" s="298"/>
      <c r="J1539" s="298"/>
      <c r="K1539" s="341"/>
      <c r="L1539" s="474"/>
      <c r="M1539" s="471"/>
      <c r="N1539" s="405"/>
      <c r="O1539" s="541"/>
      <c r="P1539" s="405"/>
      <c r="Q1539" s="405"/>
      <c r="R1539" s="388"/>
      <c r="S1539" s="344" t="str">
        <f>UPPER(D1539)</f>
        <v/>
      </c>
      <c r="T1539" s="388"/>
      <c r="U1539" s="388"/>
      <c r="V1539" s="388"/>
      <c r="W1539" s="388"/>
      <c r="X1539" s="388"/>
      <c r="Y1539" s="388"/>
      <c r="Z1539" s="388"/>
      <c r="AA1539" s="388"/>
      <c r="AB1539" s="388"/>
      <c r="AC1539" s="388"/>
      <c r="AD1539" s="388"/>
      <c r="AE1539" s="388"/>
      <c r="AF1539" s="388"/>
      <c r="AG1539" s="388"/>
      <c r="AH1539" s="388"/>
      <c r="AI1539" s="388"/>
      <c r="AJ1539" s="388"/>
      <c r="AK1539" s="388"/>
    </row>
    <row r="1540" spans="1:37" s="299" customFormat="1">
      <c r="A1540" s="297"/>
      <c r="B1540" s="298"/>
      <c r="C1540" s="298"/>
      <c r="D1540" s="511" t="s">
        <v>2375</v>
      </c>
      <c r="E1540" s="297"/>
      <c r="F1540" s="298"/>
      <c r="G1540" s="301"/>
      <c r="H1540" s="338"/>
      <c r="I1540" s="298"/>
      <c r="J1540" s="298"/>
      <c r="K1540" s="511"/>
      <c r="L1540" s="508"/>
      <c r="M1540" s="505">
        <f>SUM(M1485:M1538)</f>
        <v>222894.9</v>
      </c>
      <c r="N1540" s="405"/>
      <c r="O1540" s="541"/>
      <c r="P1540" s="405"/>
      <c r="Q1540" s="405"/>
      <c r="R1540" s="388"/>
      <c r="S1540" s="344"/>
      <c r="T1540" s="388"/>
      <c r="U1540" s="388"/>
      <c r="V1540" s="388"/>
      <c r="W1540" s="388"/>
      <c r="X1540" s="388"/>
      <c r="Y1540" s="388"/>
      <c r="Z1540" s="388"/>
      <c r="AA1540" s="388"/>
      <c r="AB1540" s="388"/>
      <c r="AC1540" s="388"/>
      <c r="AD1540" s="388"/>
      <c r="AE1540" s="388"/>
      <c r="AF1540" s="388"/>
      <c r="AG1540" s="388"/>
      <c r="AH1540" s="388"/>
      <c r="AI1540" s="388"/>
      <c r="AJ1540" s="388"/>
      <c r="AK1540" s="388"/>
    </row>
    <row r="1541" spans="1:37">
      <c r="A1541" s="296"/>
      <c r="B1541" s="44"/>
      <c r="C1541" s="44"/>
      <c r="D1541" s="438" t="s">
        <v>76</v>
      </c>
      <c r="E1541" s="296" t="s">
        <v>76</v>
      </c>
      <c r="F1541" s="44"/>
      <c r="G1541" s="302"/>
      <c r="H1541" s="339"/>
      <c r="I1541" s="44"/>
      <c r="J1541" s="44"/>
      <c r="K1541" s="383"/>
      <c r="L1541" s="474"/>
      <c r="M1541" s="471"/>
      <c r="N1541" s="405"/>
      <c r="O1541" s="541"/>
      <c r="P1541" s="405"/>
      <c r="Q1541" s="405"/>
      <c r="S1541" s="344" t="str">
        <f t="shared" ref="S1541:S1555" si="191">UPPER(D1541)</f>
        <v/>
      </c>
    </row>
    <row r="1542" spans="1:37" s="450" customFormat="1">
      <c r="A1542" s="445">
        <v>28</v>
      </c>
      <c r="B1542" s="446"/>
      <c r="C1542" s="447"/>
      <c r="D1542" s="448" t="s">
        <v>1980</v>
      </c>
      <c r="E1542" s="453" t="s">
        <v>76</v>
      </c>
      <c r="F1542" s="446"/>
      <c r="G1542" s="446"/>
      <c r="H1542" s="446"/>
      <c r="I1542" s="446"/>
      <c r="J1542" s="446"/>
      <c r="K1542" s="473"/>
      <c r="L1542" s="478"/>
      <c r="M1542" s="479"/>
      <c r="N1542" s="454"/>
      <c r="O1542" s="541"/>
      <c r="P1542" s="454"/>
      <c r="Q1542" s="454"/>
      <c r="S1542" s="450" t="str">
        <f t="shared" si="191"/>
        <v>BLOCOS DE ANCORAGEM</v>
      </c>
    </row>
    <row r="1543" spans="1:37" s="344" customFormat="1">
      <c r="A1543" s="45">
        <v>1</v>
      </c>
      <c r="B1543" s="23"/>
      <c r="C1543" s="45"/>
      <c r="D1543" s="399" t="s">
        <v>2054</v>
      </c>
      <c r="E1543" s="24" t="s">
        <v>76</v>
      </c>
      <c r="F1543" s="21"/>
      <c r="G1543" s="9"/>
      <c r="H1543" s="9"/>
      <c r="I1543" s="9"/>
      <c r="J1543" s="9"/>
      <c r="K1543" s="383"/>
      <c r="L1543" s="474"/>
      <c r="M1543" s="471"/>
      <c r="N1543" s="405"/>
      <c r="O1543" s="541"/>
      <c r="P1543" s="405"/>
      <c r="Q1543" s="405"/>
      <c r="S1543" s="344" t="str">
        <f t="shared" si="191"/>
        <v>FUNDAÇÕES E ESTRUTURAS</v>
      </c>
    </row>
    <row r="1544" spans="1:37" s="414" customFormat="1">
      <c r="A1544" s="410" t="s">
        <v>20</v>
      </c>
      <c r="B1544" s="425"/>
      <c r="C1544" s="410"/>
      <c r="D1544" s="426" t="s">
        <v>2055</v>
      </c>
      <c r="E1544" s="424" t="s">
        <v>76</v>
      </c>
      <c r="F1544" s="422"/>
      <c r="G1544" s="412"/>
      <c r="H1544" s="412"/>
      <c r="I1544" s="412"/>
      <c r="J1544" s="412"/>
      <c r="K1544" s="498"/>
      <c r="L1544" s="474"/>
      <c r="M1544" s="471"/>
      <c r="N1544" s="419"/>
      <c r="O1544" s="541"/>
      <c r="P1544" s="419"/>
      <c r="Q1544" s="419"/>
      <c r="S1544" s="414" t="str">
        <f t="shared" si="191"/>
        <v>LASTROS / FUNDAÇÕES DIRETAS</v>
      </c>
    </row>
    <row r="1545" spans="1:37" s="414" customFormat="1">
      <c r="A1545" s="410" t="s">
        <v>153</v>
      </c>
      <c r="B1545" s="425"/>
      <c r="C1545" s="410"/>
      <c r="D1545" s="426" t="s">
        <v>2056</v>
      </c>
      <c r="E1545" s="424" t="s">
        <v>76</v>
      </c>
      <c r="F1545" s="422"/>
      <c r="G1545" s="412"/>
      <c r="H1545" s="412"/>
      <c r="I1545" s="412"/>
      <c r="J1545" s="412"/>
      <c r="K1545" s="498"/>
      <c r="L1545" s="474"/>
      <c r="M1545" s="471"/>
      <c r="N1545" s="419"/>
      <c r="O1545" s="541"/>
      <c r="P1545" s="419"/>
      <c r="Q1545" s="419"/>
      <c r="S1545" s="414" t="str">
        <f t="shared" si="191"/>
        <v>LASTRO DE PEDRA BRITADA E FUNDAÇÕES EM BALDRAME.</v>
      </c>
    </row>
    <row r="1546" spans="1:37" s="344" customFormat="1">
      <c r="A1546" s="49" t="s">
        <v>152</v>
      </c>
      <c r="B1546" s="49">
        <f>'[3]Plan Tron'!B18</f>
        <v>6514</v>
      </c>
      <c r="C1546" s="49" t="str">
        <f>'[3]Plan Tron'!C18</f>
        <v>SINAPI</v>
      </c>
      <c r="D1546" s="612" t="str">
        <f>'[3]Plan Tron'!D18</f>
        <v xml:space="preserve">FORNECIMENTO E LANCAMENTO DE BRITA N. 4 </v>
      </c>
      <c r="E1546" s="49" t="str">
        <f>'[3]Plan Tron'!E18</f>
        <v>M³</v>
      </c>
      <c r="F1546" s="21">
        <v>0.43</v>
      </c>
      <c r="G1546" s="9">
        <f>G78</f>
        <v>74.28</v>
      </c>
      <c r="H1546" s="9">
        <f>'[3]Plan Tron'!F18</f>
        <v>88.38</v>
      </c>
      <c r="I1546" s="9">
        <v>26.44</v>
      </c>
      <c r="J1546" s="9">
        <f>ROUND(H1546*(I1546/100+1),2)</f>
        <v>111.75</v>
      </c>
      <c r="K1546" s="383">
        <v>0</v>
      </c>
      <c r="L1546" s="474">
        <f>F1546-K1546</f>
        <v>0.43</v>
      </c>
      <c r="M1546" s="471">
        <f t="shared" ref="M1546:M1561" si="192">ROUND(L1546*J1546,2)</f>
        <v>48.05</v>
      </c>
      <c r="N1546" s="405"/>
      <c r="O1546" s="541"/>
      <c r="P1546" s="405"/>
      <c r="Q1546" s="405"/>
      <c r="S1546" s="344" t="str">
        <f t="shared" si="191"/>
        <v xml:space="preserve">FORNECIMENTO E LANCAMENTO DE BRITA N. 4 </v>
      </c>
    </row>
    <row r="1547" spans="1:37" s="414" customFormat="1">
      <c r="A1547" s="410" t="s">
        <v>19</v>
      </c>
      <c r="B1547" s="646"/>
      <c r="C1547" s="410"/>
      <c r="D1547" s="647" t="s">
        <v>2058</v>
      </c>
      <c r="E1547" s="648" t="s">
        <v>76</v>
      </c>
      <c r="F1547" s="649"/>
      <c r="G1547" s="412"/>
      <c r="H1547" s="412"/>
      <c r="I1547" s="412"/>
      <c r="J1547" s="9"/>
      <c r="K1547" s="498"/>
      <c r="L1547" s="474"/>
      <c r="M1547" s="471"/>
      <c r="N1547" s="419"/>
      <c r="O1547" s="541"/>
      <c r="P1547" s="419"/>
      <c r="Q1547" s="419"/>
      <c r="S1547" s="414" t="str">
        <f t="shared" si="191"/>
        <v>FORMAS / CIMBRAMENTOS / ESCORAMENTOS</v>
      </c>
    </row>
    <row r="1548" spans="1:37" s="344" customFormat="1">
      <c r="A1548" s="49" t="s">
        <v>147</v>
      </c>
      <c r="B1548" s="49">
        <f>'[3]Plan Tron'!B20</f>
        <v>5651</v>
      </c>
      <c r="C1548" s="49" t="str">
        <f>'[3]Plan Tron'!C20</f>
        <v>SINAPI</v>
      </c>
      <c r="D1548" s="136" t="str">
        <f>'[3]Plan Tron'!D20</f>
        <v>FORMA DE MADEIRA COMUM PARA FUNDAÇÕES - REAPROVEITAMENTO 5X.</v>
      </c>
      <c r="E1548" s="32" t="str">
        <f>'[3]Plan Tron'!E20</f>
        <v>M²</v>
      </c>
      <c r="F1548" s="21">
        <v>26.63</v>
      </c>
      <c r="G1548" s="9">
        <v>22.96</v>
      </c>
      <c r="H1548" s="9">
        <f>'[3]Plan Tron'!F20</f>
        <v>29.01</v>
      </c>
      <c r="I1548" s="9">
        <v>26.44</v>
      </c>
      <c r="J1548" s="9">
        <f t="shared" ref="J1548:J1555" si="193">ROUND(H1548*(I1548/100+1),2)</f>
        <v>36.68</v>
      </c>
      <c r="K1548" s="383">
        <v>0</v>
      </c>
      <c r="L1548" s="474">
        <f>F1548-K1548</f>
        <v>26.63</v>
      </c>
      <c r="M1548" s="471">
        <f t="shared" si="192"/>
        <v>976.79</v>
      </c>
      <c r="N1548" s="405"/>
      <c r="O1548" s="541"/>
      <c r="P1548" s="405"/>
      <c r="Q1548" s="405"/>
      <c r="S1548" s="344" t="str">
        <f t="shared" si="191"/>
        <v>FORMA DE MADEIRA COMUM PARA FUNDAÇÕES - REAPROVEITAMENTO 5X.</v>
      </c>
    </row>
    <row r="1549" spans="1:37" s="414" customFormat="1">
      <c r="A1549" s="410" t="s">
        <v>18</v>
      </c>
      <c r="B1549" s="425"/>
      <c r="C1549" s="410"/>
      <c r="D1549" s="426" t="s">
        <v>2059</v>
      </c>
      <c r="E1549" s="421" t="s">
        <v>76</v>
      </c>
      <c r="F1549" s="423"/>
      <c r="G1549" s="412"/>
      <c r="H1549" s="412"/>
      <c r="I1549" s="412"/>
      <c r="J1549" s="9"/>
      <c r="K1549" s="498"/>
      <c r="L1549" s="474"/>
      <c r="M1549" s="471"/>
      <c r="N1549" s="419"/>
      <c r="O1549" s="541"/>
      <c r="P1549" s="419"/>
      <c r="Q1549" s="419"/>
      <c r="S1549" s="414" t="str">
        <f t="shared" si="191"/>
        <v>ARMADURAS</v>
      </c>
    </row>
    <row r="1550" spans="1:37" s="414" customFormat="1">
      <c r="A1550" s="410" t="s">
        <v>201</v>
      </c>
      <c r="B1550" s="425"/>
      <c r="C1550" s="410"/>
      <c r="D1550" s="426" t="s">
        <v>2060</v>
      </c>
      <c r="E1550" s="421" t="s">
        <v>76</v>
      </c>
      <c r="F1550" s="623"/>
      <c r="G1550" s="412"/>
      <c r="H1550" s="412"/>
      <c r="I1550" s="412"/>
      <c r="J1550" s="9"/>
      <c r="K1550" s="498"/>
      <c r="L1550" s="474"/>
      <c r="M1550" s="471"/>
      <c r="N1550" s="419"/>
      <c r="O1550" s="541"/>
      <c r="P1550" s="419"/>
      <c r="Q1550" s="419"/>
      <c r="S1550" s="414" t="str">
        <f t="shared" si="191"/>
        <v>ARMAÇÃO EM AÇO CA-50 PARA ESTRUTURAS DE CONCRETO.</v>
      </c>
    </row>
    <row r="1551" spans="1:37" s="344" customFormat="1" ht="25.5">
      <c r="A1551" s="49" t="s">
        <v>888</v>
      </c>
      <c r="B1551" s="49">
        <f>'[3]Plan Tron'!B21</f>
        <v>92761</v>
      </c>
      <c r="C1551" s="49" t="str">
        <f>'[3]Plan Tron'!C21</f>
        <v>SINAPI</v>
      </c>
      <c r="D1551" s="614" t="str">
        <f>'[3]Plan Tron'!D21</f>
        <v>ARMAÇÃO DE PILAR OU VIGA DE UMA ESTRUTURA CONVENCIONAL DE CONCRETO ARMADO EM UM EDIFÍCIO DE MÚLTIPLOS PAVIMENTOS UTILIZANDO AÇO CA-50 DE 8.0MM - MONTAGEM. AF_12/2015</v>
      </c>
      <c r="E1551" s="49" t="str">
        <f>'[3]Plan Tron'!E21</f>
        <v>KG</v>
      </c>
      <c r="F1551" s="21">
        <v>13</v>
      </c>
      <c r="G1551" s="9">
        <f>G85</f>
        <v>5.9</v>
      </c>
      <c r="H1551" s="9">
        <f>'[3]Plan Tron'!F21</f>
        <v>9.44</v>
      </c>
      <c r="I1551" s="9">
        <v>26.44</v>
      </c>
      <c r="J1551" s="9">
        <f t="shared" si="193"/>
        <v>11.94</v>
      </c>
      <c r="K1551" s="383">
        <v>0</v>
      </c>
      <c r="L1551" s="474">
        <f>F1551-K1551</f>
        <v>13</v>
      </c>
      <c r="M1551" s="471">
        <f t="shared" si="192"/>
        <v>155.22</v>
      </c>
      <c r="N1551" s="405"/>
      <c r="O1551" s="541"/>
      <c r="P1551" s="405"/>
      <c r="Q1551" s="405"/>
      <c r="S1551" s="344" t="str">
        <f t="shared" si="191"/>
        <v>ARMAÇÃO DE PILAR OU VIGA DE UMA ESTRUTURA CONVENCIONAL DE CONCRETO ARMADO EM UM EDIFÍCIO DE MÚLTIPLOS PAVIMENTOS UTILIZANDO AÇO CA-50 DE 8.0MM - MONTAGEM. AF_12/2015</v>
      </c>
    </row>
    <row r="1552" spans="1:37" s="414" customFormat="1">
      <c r="A1552" s="410" t="s">
        <v>17</v>
      </c>
      <c r="B1552" s="646"/>
      <c r="C1552" s="410"/>
      <c r="D1552" s="647" t="s">
        <v>2061</v>
      </c>
      <c r="E1552" s="648" t="s">
        <v>76</v>
      </c>
      <c r="F1552" s="649"/>
      <c r="G1552" s="412"/>
      <c r="H1552" s="412"/>
      <c r="I1552" s="412"/>
      <c r="J1552" s="9"/>
      <c r="K1552" s="498"/>
      <c r="L1552" s="474"/>
      <c r="M1552" s="471"/>
      <c r="N1552" s="419"/>
      <c r="O1552" s="541"/>
      <c r="P1552" s="419"/>
      <c r="Q1552" s="419"/>
      <c r="S1552" s="414" t="str">
        <f t="shared" si="191"/>
        <v>CONCRETOS</v>
      </c>
    </row>
    <row r="1553" spans="1:37" s="344" customFormat="1">
      <c r="A1553" s="49" t="s">
        <v>195</v>
      </c>
      <c r="B1553" s="49">
        <f>'[3]Plan Tron'!B23</f>
        <v>110404</v>
      </c>
      <c r="C1553" s="49" t="str">
        <f>'[3]Plan Tron'!C23</f>
        <v>CPOS</v>
      </c>
      <c r="D1553" s="612" t="str">
        <f>UPPER('[3]Plan Tron'!D23)</f>
        <v>CONCRETO NÃO ESTRUTURAL EXECUTADO NO LOCAL, MÍNIMO 200 KG CIMENTO / M³</v>
      </c>
      <c r="E1553" s="49" t="str">
        <f>'[3]Plan Tron'!E23</f>
        <v>M³</v>
      </c>
      <c r="F1553" s="21">
        <v>1.42</v>
      </c>
      <c r="G1553" s="9">
        <v>238.25</v>
      </c>
      <c r="H1553" s="9">
        <f>'[3]Plan Tron'!F23</f>
        <v>231.91</v>
      </c>
      <c r="I1553" s="9">
        <v>26.44</v>
      </c>
      <c r="J1553" s="9">
        <f t="shared" si="193"/>
        <v>293.23</v>
      </c>
      <c r="K1553" s="383">
        <v>0</v>
      </c>
      <c r="L1553" s="474">
        <f>F1553-K1553</f>
        <v>1.42</v>
      </c>
      <c r="M1553" s="471">
        <f t="shared" si="192"/>
        <v>416.39</v>
      </c>
      <c r="N1553" s="405"/>
      <c r="O1553" s="541"/>
      <c r="P1553" s="405"/>
      <c r="Q1553" s="405"/>
      <c r="S1553" s="344" t="str">
        <f t="shared" si="191"/>
        <v>CONCRETO NÃO ESTRUTURAL EXECUTADO NO LOCAL, MÍNIMO 200 KG CIMENTO / M³</v>
      </c>
    </row>
    <row r="1554" spans="1:37" s="414" customFormat="1">
      <c r="A1554" s="410" t="s">
        <v>192</v>
      </c>
      <c r="B1554" s="425"/>
      <c r="C1554" s="410"/>
      <c r="D1554" s="426" t="s">
        <v>2062</v>
      </c>
      <c r="E1554" s="421" t="s">
        <v>76</v>
      </c>
      <c r="F1554" s="623"/>
      <c r="G1554" s="412"/>
      <c r="H1554" s="412"/>
      <c r="I1554" s="412"/>
      <c r="J1554" s="9"/>
      <c r="K1554" s="498"/>
      <c r="L1554" s="474"/>
      <c r="M1554" s="471"/>
      <c r="N1554" s="419"/>
      <c r="O1554" s="541"/>
      <c r="P1554" s="419"/>
      <c r="Q1554" s="419"/>
      <c r="S1554" s="414" t="str">
        <f t="shared" si="191"/>
        <v>CONCRETO BOMBEADO</v>
      </c>
    </row>
    <row r="1555" spans="1:37" s="344" customFormat="1">
      <c r="A1555" s="49" t="s">
        <v>1666</v>
      </c>
      <c r="B1555" s="49">
        <f>'[3]Plan Tron'!B27</f>
        <v>110132</v>
      </c>
      <c r="C1555" s="49" t="str">
        <f>'[3]Plan Tron'!C27</f>
        <v>CPOS</v>
      </c>
      <c r="D1555" s="612" t="str">
        <f>'[3]Plan Tron'!D27</f>
        <v xml:space="preserve">CONCRETO USINADO, FCK=30MPa - PARA BOMBEAMENTO </v>
      </c>
      <c r="E1555" s="49" t="str">
        <f>'[3]Plan Tron'!E27</f>
        <v>M³</v>
      </c>
      <c r="F1555" s="21">
        <v>4.12</v>
      </c>
      <c r="G1555" s="9">
        <v>336.28</v>
      </c>
      <c r="H1555" s="9">
        <f>'[3]Plan Tron'!F27</f>
        <v>311.94</v>
      </c>
      <c r="I1555" s="9">
        <v>26.44</v>
      </c>
      <c r="J1555" s="9">
        <f t="shared" si="193"/>
        <v>394.42</v>
      </c>
      <c r="K1555" s="383">
        <v>0</v>
      </c>
      <c r="L1555" s="474">
        <f>F1555-K1555</f>
        <v>4.12</v>
      </c>
      <c r="M1555" s="471">
        <f t="shared" si="192"/>
        <v>1625.01</v>
      </c>
      <c r="N1555" s="405"/>
      <c r="O1555" s="541"/>
      <c r="P1555" s="405"/>
      <c r="Q1555" s="405"/>
      <c r="S1555" s="344" t="str">
        <f t="shared" si="191"/>
        <v xml:space="preserve">CONCRETO USINADO, FCK=30MPA - PARA BOMBEAMENTO </v>
      </c>
    </row>
    <row r="1556" spans="1:37" s="344" customFormat="1">
      <c r="A1556" s="49"/>
      <c r="B1556" s="17"/>
      <c r="C1556" s="49"/>
      <c r="D1556" s="17"/>
      <c r="E1556" s="7"/>
      <c r="F1556" s="10"/>
      <c r="G1556" s="27"/>
      <c r="H1556" s="27"/>
      <c r="I1556" s="9"/>
      <c r="J1556" s="9"/>
      <c r="K1556" s="17"/>
      <c r="L1556" s="474"/>
      <c r="M1556" s="471"/>
      <c r="N1556" s="405"/>
      <c r="O1556" s="541"/>
      <c r="P1556" s="405"/>
      <c r="Q1556" s="405"/>
    </row>
    <row r="1557" spans="1:37" s="344" customFormat="1">
      <c r="A1557" s="69"/>
      <c r="B1557" s="112"/>
      <c r="C1557" s="69"/>
      <c r="D1557" s="400" t="s">
        <v>76</v>
      </c>
      <c r="E1557" s="140" t="s">
        <v>76</v>
      </c>
      <c r="F1557" s="8"/>
      <c r="G1557" s="141"/>
      <c r="H1557" s="141"/>
      <c r="I1557" s="141"/>
      <c r="J1557" s="141"/>
      <c r="K1557" s="383"/>
      <c r="L1557" s="474"/>
      <c r="M1557" s="471"/>
      <c r="N1557" s="405"/>
      <c r="O1557" s="541"/>
      <c r="P1557" s="405"/>
      <c r="Q1557" s="405"/>
      <c r="S1557" s="344" t="str">
        <f>UPPER(D1557)</f>
        <v/>
      </c>
    </row>
    <row r="1558" spans="1:37" s="344" customFormat="1">
      <c r="A1558" s="45">
        <v>2</v>
      </c>
      <c r="B1558" s="17"/>
      <c r="C1558" s="45"/>
      <c r="D1558" s="53" t="s">
        <v>2237</v>
      </c>
      <c r="E1558" s="7" t="s">
        <v>76</v>
      </c>
      <c r="F1558" s="10"/>
      <c r="G1558" s="21"/>
      <c r="H1558" s="21"/>
      <c r="I1558" s="148"/>
      <c r="J1558" s="148"/>
      <c r="K1558" s="383"/>
      <c r="L1558" s="474"/>
      <c r="M1558" s="471"/>
      <c r="N1558" s="405"/>
      <c r="O1558" s="541"/>
      <c r="P1558" s="405"/>
      <c r="Q1558" s="405"/>
      <c r="S1558" s="344" t="str">
        <f>UPPER(D1558)</f>
        <v>IMPERMEABILIZAÇÕES  E  PROTEÇÕES  DIVERSAS</v>
      </c>
    </row>
    <row r="1559" spans="1:37" s="414" customFormat="1">
      <c r="A1559" s="410" t="s">
        <v>9</v>
      </c>
      <c r="B1559" s="425"/>
      <c r="C1559" s="410"/>
      <c r="D1559" s="420" t="s">
        <v>2131</v>
      </c>
      <c r="E1559" s="421" t="s">
        <v>76</v>
      </c>
      <c r="F1559" s="659"/>
      <c r="G1559" s="659"/>
      <c r="H1559" s="659"/>
      <c r="I1559" s="413"/>
      <c r="J1559" s="413"/>
      <c r="K1559" s="498"/>
      <c r="L1559" s="474"/>
      <c r="M1559" s="471"/>
      <c r="N1559" s="419"/>
      <c r="O1559" s="541"/>
      <c r="P1559" s="419"/>
      <c r="Q1559" s="419"/>
      <c r="S1559" s="414" t="str">
        <f>UPPER(D1559)</f>
        <v>IMPERMEABILIZAÇÃO BETUMINOSA C/ EMULSÃO ASFÁLTICA E ACRÍLICA.</v>
      </c>
    </row>
    <row r="1560" spans="1:37" s="414" customFormat="1" ht="25.5">
      <c r="A1560" s="410" t="s">
        <v>348</v>
      </c>
      <c r="B1560" s="425"/>
      <c r="C1560" s="410"/>
      <c r="D1560" s="420" t="s">
        <v>2132</v>
      </c>
      <c r="E1560" s="421" t="s">
        <v>76</v>
      </c>
      <c r="F1560" s="659"/>
      <c r="G1560" s="659"/>
      <c r="H1560" s="659"/>
      <c r="I1560" s="413"/>
      <c r="J1560" s="413"/>
      <c r="K1560" s="498"/>
      <c r="L1560" s="474"/>
      <c r="M1560" s="471"/>
      <c r="N1560" s="419"/>
      <c r="O1560" s="541"/>
      <c r="P1560" s="419"/>
      <c r="Q1560" s="419"/>
      <c r="S1560" s="414" t="str">
        <f>UPPER(D1560)</f>
        <v>IMPERMEABILIZAÇÃO DE FUNDAÇÕES / BALDRAMES / MUROS DE ARRIMO / ALICERCES / REVESTIMENTOS EM CONTATO C/ SOLO - UTILIZAÇÃO DE TINTA BETUMINOSA TIPO NEUTROLIN / DUAS DEMÃOS.</v>
      </c>
    </row>
    <row r="1561" spans="1:37" s="344" customFormat="1">
      <c r="A1561" s="49" t="s">
        <v>417</v>
      </c>
      <c r="B1561" s="49" t="str">
        <f>'[3]Plan Tron'!B71</f>
        <v>74106/001</v>
      </c>
      <c r="C1561" s="49" t="str">
        <f>'[3]Plan Tron'!C71</f>
        <v>SINAPI</v>
      </c>
      <c r="D1561" s="612" t="str">
        <f>'[3]Plan Tron'!D71</f>
        <v>IMPERMEABILIZACAO DE ESTRUTURAS ENTERRADAS,COM TINTA ASFALTICA, DUAS DEMÃOS.</v>
      </c>
      <c r="E1561" s="49" t="str">
        <f>'[3]Plan Tron'!E71</f>
        <v>M²</v>
      </c>
      <c r="F1561" s="20">
        <v>26.63</v>
      </c>
      <c r="G1561" s="20">
        <v>6.65</v>
      </c>
      <c r="H1561" s="20">
        <f>'[3]Plan Tron'!F71</f>
        <v>9.2899999999999991</v>
      </c>
      <c r="I1561" s="10">
        <v>26.44</v>
      </c>
      <c r="J1561" s="10">
        <f>ROUND(H1561*(I1561/100+1),2)</f>
        <v>11.75</v>
      </c>
      <c r="K1561" s="383">
        <v>0</v>
      </c>
      <c r="L1561" s="474">
        <f>F1561-K1561</f>
        <v>26.63</v>
      </c>
      <c r="M1561" s="471">
        <f t="shared" si="192"/>
        <v>312.89999999999998</v>
      </c>
      <c r="N1561" s="405"/>
      <c r="O1561" s="541"/>
      <c r="P1561" s="405"/>
      <c r="Q1561" s="405"/>
      <c r="S1561" s="344" t="str">
        <f>UPPER(D1561)</f>
        <v>IMPERMEABILIZACAO DE ESTRUTURAS ENTERRADAS,COM TINTA ASFALTICA, DUAS DEMÃOS.</v>
      </c>
    </row>
    <row r="1562" spans="1:37">
      <c r="A1562" s="69"/>
      <c r="B1562" s="112"/>
      <c r="C1562" s="69"/>
      <c r="D1562" s="112"/>
      <c r="E1562" s="140"/>
      <c r="F1562" s="8"/>
      <c r="G1562" s="323"/>
      <c r="H1562" s="141"/>
      <c r="I1562" s="141"/>
      <c r="J1562" s="141"/>
      <c r="K1562" s="112"/>
      <c r="L1562" s="474"/>
      <c r="M1562" s="472"/>
      <c r="N1562" s="405"/>
      <c r="O1562" s="541"/>
      <c r="P1562" s="405"/>
      <c r="Q1562" s="405"/>
    </row>
    <row r="1563" spans="1:37" s="299" customFormat="1">
      <c r="A1563" s="297"/>
      <c r="B1563" s="298"/>
      <c r="C1563" s="298"/>
      <c r="D1563" s="341"/>
      <c r="E1563" s="297"/>
      <c r="F1563" s="298"/>
      <c r="G1563" s="301"/>
      <c r="H1563" s="338"/>
      <c r="I1563" s="298"/>
      <c r="J1563" s="298"/>
      <c r="K1563" s="341"/>
      <c r="L1563" s="474"/>
      <c r="M1563" s="471"/>
      <c r="N1563" s="405"/>
      <c r="O1563" s="541"/>
      <c r="P1563" s="405"/>
      <c r="Q1563" s="405"/>
      <c r="R1563" s="388"/>
      <c r="S1563" s="344" t="str">
        <f>UPPER(D1563)</f>
        <v/>
      </c>
      <c r="T1563" s="388"/>
      <c r="U1563" s="388"/>
      <c r="V1563" s="388"/>
      <c r="W1563" s="388"/>
      <c r="X1563" s="388"/>
      <c r="Y1563" s="388"/>
      <c r="Z1563" s="388"/>
      <c r="AA1563" s="388"/>
      <c r="AB1563" s="388"/>
      <c r="AC1563" s="388"/>
      <c r="AD1563" s="388"/>
      <c r="AE1563" s="388"/>
      <c r="AF1563" s="388"/>
      <c r="AG1563" s="388"/>
      <c r="AH1563" s="388"/>
      <c r="AI1563" s="388"/>
      <c r="AJ1563" s="388"/>
      <c r="AK1563" s="388"/>
    </row>
    <row r="1564" spans="1:37" s="299" customFormat="1">
      <c r="A1564" s="297"/>
      <c r="B1564" s="298"/>
      <c r="C1564" s="298"/>
      <c r="D1564" s="510" t="s">
        <v>2376</v>
      </c>
      <c r="E1564" s="297" t="s">
        <v>76</v>
      </c>
      <c r="F1564" s="298"/>
      <c r="G1564" s="301"/>
      <c r="H1564" s="338"/>
      <c r="I1564" s="298"/>
      <c r="J1564" s="298"/>
      <c r="K1564" s="510"/>
      <c r="L1564" s="519"/>
      <c r="M1564" s="520">
        <f>SUM(M1546:M1562)</f>
        <v>3534.36</v>
      </c>
      <c r="N1564" s="405"/>
      <c r="O1564" s="541"/>
      <c r="P1564" s="405"/>
      <c r="Q1564" s="405"/>
      <c r="R1564" s="388"/>
      <c r="S1564" s="344" t="str">
        <f>UPPER(D1564)</f>
        <v>TOTAL ITEM 28</v>
      </c>
      <c r="T1564" s="388"/>
      <c r="U1564" s="388"/>
      <c r="V1564" s="388"/>
      <c r="W1564" s="388"/>
      <c r="X1564" s="388"/>
      <c r="Y1564" s="388"/>
      <c r="Z1564" s="388"/>
      <c r="AA1564" s="388"/>
      <c r="AB1564" s="388"/>
      <c r="AC1564" s="388"/>
      <c r="AD1564" s="388"/>
      <c r="AE1564" s="388"/>
      <c r="AF1564" s="388"/>
      <c r="AG1564" s="388"/>
      <c r="AH1564" s="388"/>
      <c r="AI1564" s="388"/>
      <c r="AJ1564" s="388"/>
      <c r="AK1564" s="388"/>
    </row>
    <row r="1565" spans="1:37" s="299" customFormat="1">
      <c r="A1565" s="297"/>
      <c r="B1565" s="298"/>
      <c r="C1565" s="298"/>
      <c r="D1565" s="442"/>
      <c r="E1565" s="297"/>
      <c r="F1565" s="298"/>
      <c r="G1565" s="301"/>
      <c r="H1565" s="338"/>
      <c r="I1565" s="298"/>
      <c r="J1565" s="298"/>
      <c r="K1565" s="341"/>
      <c r="L1565" s="474"/>
      <c r="M1565" s="471"/>
      <c r="N1565" s="405"/>
      <c r="O1565" s="541"/>
      <c r="P1565" s="405"/>
      <c r="Q1565" s="405"/>
      <c r="R1565" s="388"/>
      <c r="S1565" s="344"/>
      <c r="T1565" s="388"/>
      <c r="U1565" s="388"/>
      <c r="V1565" s="388"/>
      <c r="W1565" s="388"/>
      <c r="X1565" s="388"/>
      <c r="Y1565" s="388"/>
      <c r="Z1565" s="388"/>
      <c r="AA1565" s="388"/>
      <c r="AB1565" s="388"/>
      <c r="AC1565" s="388"/>
      <c r="AD1565" s="388"/>
      <c r="AE1565" s="388"/>
      <c r="AF1565" s="388"/>
      <c r="AG1565" s="388"/>
      <c r="AH1565" s="388"/>
      <c r="AI1565" s="388"/>
      <c r="AJ1565" s="388"/>
      <c r="AK1565" s="388"/>
    </row>
    <row r="1566" spans="1:37" s="450" customFormat="1">
      <c r="A1566" s="445">
        <v>29</v>
      </c>
      <c r="B1566" s="446"/>
      <c r="C1566" s="447"/>
      <c r="D1566" s="448" t="s">
        <v>1981</v>
      </c>
      <c r="E1566" s="453" t="s">
        <v>76</v>
      </c>
      <c r="F1566" s="446"/>
      <c r="G1566" s="446"/>
      <c r="H1566" s="446"/>
      <c r="I1566" s="446"/>
      <c r="J1566" s="446"/>
      <c r="K1566" s="473"/>
      <c r="L1566" s="478"/>
      <c r="M1566" s="479"/>
      <c r="N1566" s="454"/>
      <c r="O1566" s="541"/>
      <c r="P1566" s="454"/>
      <c r="Q1566" s="454"/>
      <c r="S1566" s="450" t="str">
        <f t="shared" ref="S1566:S1579" si="194">UPPER(D1566)</f>
        <v>ESTAÇÃO ELEVATÓRIA DE ÁGUA PARA LAVAGEM DOS FILTROS</v>
      </c>
    </row>
    <row r="1567" spans="1:37" s="450" customFormat="1">
      <c r="A1567" s="445" t="s">
        <v>30</v>
      </c>
      <c r="B1567" s="446"/>
      <c r="C1567" s="447"/>
      <c r="D1567" s="448" t="s">
        <v>1981</v>
      </c>
      <c r="E1567" s="453" t="s">
        <v>76</v>
      </c>
      <c r="F1567" s="446"/>
      <c r="G1567" s="446"/>
      <c r="H1567" s="446"/>
      <c r="I1567" s="446"/>
      <c r="J1567" s="446"/>
      <c r="K1567" s="473"/>
      <c r="L1567" s="478"/>
      <c r="M1567" s="479"/>
      <c r="N1567" s="454"/>
      <c r="O1567" s="541"/>
      <c r="P1567" s="454"/>
      <c r="Q1567" s="454"/>
      <c r="S1567" s="450" t="str">
        <f t="shared" si="194"/>
        <v>ESTAÇÃO ELEVATÓRIA DE ÁGUA PARA LAVAGEM DOS FILTROS</v>
      </c>
    </row>
    <row r="1568" spans="1:37" s="344" customFormat="1">
      <c r="A1568" s="45">
        <v>1</v>
      </c>
      <c r="B1568" s="12"/>
      <c r="C1568" s="45"/>
      <c r="D1568" s="399" t="s">
        <v>2038</v>
      </c>
      <c r="E1568" s="7" t="s">
        <v>76</v>
      </c>
      <c r="F1568" s="27"/>
      <c r="G1568" s="9"/>
      <c r="H1568" s="9"/>
      <c r="I1568" s="172"/>
      <c r="J1568" s="172"/>
      <c r="K1568" s="383"/>
      <c r="L1568" s="474"/>
      <c r="M1568" s="471"/>
      <c r="N1568" s="405"/>
      <c r="O1568" s="541"/>
      <c r="P1568" s="405"/>
      <c r="Q1568" s="405"/>
      <c r="S1568" s="344" t="str">
        <f t="shared" si="194"/>
        <v>MOVIMENTO DE TERRA</v>
      </c>
    </row>
    <row r="1569" spans="1:19" s="414" customFormat="1">
      <c r="A1569" s="410" t="s">
        <v>20</v>
      </c>
      <c r="B1569" s="657"/>
      <c r="C1569" s="410"/>
      <c r="D1569" s="434" t="s">
        <v>2041</v>
      </c>
      <c r="E1569" s="617" t="s">
        <v>76</v>
      </c>
      <c r="F1569" s="619"/>
      <c r="G1569" s="412"/>
      <c r="H1569" s="412"/>
      <c r="I1569" s="437"/>
      <c r="J1569" s="437"/>
      <c r="K1569" s="498"/>
      <c r="L1569" s="474"/>
      <c r="M1569" s="471"/>
      <c r="N1569" s="419"/>
      <c r="O1569" s="541"/>
      <c r="P1569" s="419"/>
      <c r="Q1569" s="419"/>
      <c r="S1569" s="414" t="str">
        <f t="shared" si="194"/>
        <v>ESCAVAÇÃO DE VALAS</v>
      </c>
    </row>
    <row r="1570" spans="1:19" s="414" customFormat="1" hidden="1">
      <c r="A1570" s="410" t="s">
        <v>153</v>
      </c>
      <c r="B1570" s="411"/>
      <c r="C1570" s="410"/>
      <c r="D1570" s="434" t="s">
        <v>2042</v>
      </c>
      <c r="E1570" s="424" t="s">
        <v>76</v>
      </c>
      <c r="F1570" s="422"/>
      <c r="G1570" s="412"/>
      <c r="H1570" s="412"/>
      <c r="I1570" s="437"/>
      <c r="J1570" s="437"/>
      <c r="K1570" s="498"/>
      <c r="L1570" s="474"/>
      <c r="M1570" s="471"/>
      <c r="N1570" s="419"/>
      <c r="O1570" s="541"/>
      <c r="P1570" s="419"/>
      <c r="Q1570" s="419"/>
      <c r="S1570" s="414" t="str">
        <f t="shared" si="194"/>
        <v>ESCAVAÇÃO MECÂNICA DE CAVAS</v>
      </c>
    </row>
    <row r="1571" spans="1:19" s="344" customFormat="1" hidden="1">
      <c r="A1571" s="49" t="s">
        <v>152</v>
      </c>
      <c r="B1571" s="49">
        <f>'[3]Plan Tron'!B7</f>
        <v>60202</v>
      </c>
      <c r="C1571" s="49" t="str">
        <f>'[3]Plan Tron'!C7</f>
        <v>CPOS</v>
      </c>
      <c r="D1571" s="612" t="str">
        <f>'[3]Plan Tron'!D7</f>
        <v xml:space="preserve">ESCAVAÇÃO MANUAL EM SOLO DE 1ª E 2ª CATEGORIA EM VALA OU CAVA ATÉ 1,50M </v>
      </c>
      <c r="E1571" s="49" t="str">
        <f>'[3]Plan Tron'!E7</f>
        <v>M³</v>
      </c>
      <c r="F1571" s="21">
        <v>357.62</v>
      </c>
      <c r="G1571" s="9">
        <v>10.220000000000001</v>
      </c>
      <c r="H1571" s="9">
        <f>'[3]Plan Tron'!F7</f>
        <v>34.020000000000003</v>
      </c>
      <c r="I1571" s="172">
        <v>26.44</v>
      </c>
      <c r="J1571" s="172">
        <f>ROUND(H1571*(I1571/100+1),2)</f>
        <v>43.01</v>
      </c>
      <c r="K1571" s="383">
        <v>357.62</v>
      </c>
      <c r="L1571" s="474">
        <f>F1571-K1571</f>
        <v>0</v>
      </c>
      <c r="M1571" s="471">
        <f t="shared" ref="M1571:M1634" si="195">ROUND(L1571*J1571,2)</f>
        <v>0</v>
      </c>
      <c r="N1571" s="405"/>
      <c r="O1571" s="541"/>
      <c r="P1571" s="405"/>
      <c r="Q1571" s="405"/>
      <c r="S1571" s="344" t="str">
        <f t="shared" si="194"/>
        <v xml:space="preserve">ESCAVAÇÃO MANUAL EM SOLO DE 1ª E 2ª CATEGORIA EM VALA OU CAVA ATÉ 1,50M </v>
      </c>
    </row>
    <row r="1572" spans="1:19" s="344" customFormat="1" hidden="1">
      <c r="A1572" s="49" t="s">
        <v>320</v>
      </c>
      <c r="B1572" s="49">
        <f>'[3]Plan Tron'!B8</f>
        <v>60204</v>
      </c>
      <c r="C1572" s="49" t="str">
        <f>'[3]Plan Tron'!C8</f>
        <v>CPOS</v>
      </c>
      <c r="D1572" s="612" t="str">
        <f>'[3]Plan Tron'!D8</f>
        <v>ESCAVAÇÃO MANUAL EM SOLO DE 1ª E 2ª CATEGORIA EM VALA OU CAVA DE 1,5M A 3M</v>
      </c>
      <c r="E1572" s="49" t="str">
        <f>'[3]Plan Tron'!E8</f>
        <v>M³</v>
      </c>
      <c r="F1572" s="21">
        <v>232.61</v>
      </c>
      <c r="G1572" s="9">
        <v>11.73</v>
      </c>
      <c r="H1572" s="9">
        <f>'[3]Plan Tron'!F8</f>
        <v>44</v>
      </c>
      <c r="I1572" s="172">
        <v>26.44</v>
      </c>
      <c r="J1572" s="172">
        <f t="shared" ref="J1572:J1579" si="196">ROUND(H1572*(I1572/100+1),2)</f>
        <v>55.63</v>
      </c>
      <c r="K1572" s="383">
        <v>232.61</v>
      </c>
      <c r="L1572" s="474">
        <f>F1572-K1572</f>
        <v>0</v>
      </c>
      <c r="M1572" s="471">
        <f t="shared" si="195"/>
        <v>0</v>
      </c>
      <c r="N1572" s="405"/>
      <c r="O1572" s="541"/>
      <c r="P1572" s="405"/>
      <c r="Q1572" s="405"/>
      <c r="S1572" s="344" t="str">
        <f t="shared" si="194"/>
        <v>ESCAVAÇÃO MANUAL EM SOLO DE 1ª E 2ª CATEGORIA EM VALA OU CAVA DE 1,5M A 3M</v>
      </c>
    </row>
    <row r="1573" spans="1:19" s="344" customFormat="1" hidden="1">
      <c r="A1573" s="49" t="s">
        <v>1139</v>
      </c>
      <c r="B1573" s="49">
        <f>'[3]Plan Tron'!B9</f>
        <v>60204</v>
      </c>
      <c r="C1573" s="49" t="str">
        <f>'[3]Plan Tron'!C9</f>
        <v>CPOS</v>
      </c>
      <c r="D1573" s="612" t="str">
        <f>'[3]Plan Tron'!D9</f>
        <v>ESCAVAÇÃO MANUAL EM SOLO DE 1ª E 2ª CATEGORIA EM VALA OU CAVA DE 3M A 4,50M</v>
      </c>
      <c r="E1573" s="49" t="str">
        <f>'[3]Plan Tron'!E9</f>
        <v>M³</v>
      </c>
      <c r="F1573" s="21">
        <v>84.44</v>
      </c>
      <c r="G1573" s="9">
        <f>G52</f>
        <v>11.73</v>
      </c>
      <c r="H1573" s="9">
        <f>'[3]Plan Tron'!F9</f>
        <v>44</v>
      </c>
      <c r="I1573" s="172">
        <v>26.44</v>
      </c>
      <c r="J1573" s="172">
        <f t="shared" si="196"/>
        <v>55.63</v>
      </c>
      <c r="K1573" s="383">
        <v>84.44</v>
      </c>
      <c r="L1573" s="474">
        <f>F1573-K1573</f>
        <v>0</v>
      </c>
      <c r="M1573" s="471">
        <f t="shared" si="195"/>
        <v>0</v>
      </c>
      <c r="N1573" s="405"/>
      <c r="O1573" s="541"/>
      <c r="P1573" s="405"/>
      <c r="Q1573" s="405"/>
      <c r="S1573" s="344" t="str">
        <f t="shared" si="194"/>
        <v>ESCAVAÇÃO MANUAL EM SOLO DE 1ª E 2ª CATEGORIA EM VALA OU CAVA DE 3M A 4,50M</v>
      </c>
    </row>
    <row r="1574" spans="1:19" s="344" customFormat="1" hidden="1">
      <c r="A1574" s="49" t="s">
        <v>1138</v>
      </c>
      <c r="B1574" s="49">
        <f>'[3]Plan Tron'!B10</f>
        <v>60204</v>
      </c>
      <c r="C1574" s="49" t="str">
        <f>'[3]Plan Tron'!C10</f>
        <v>CPOS</v>
      </c>
      <c r="D1574" s="612" t="str">
        <f>'[3]Plan Tron'!D10</f>
        <v>ESCAVAÇÃO MANUAL EM SOLO DE 1ª E 2ª CATEGORIA EM VALA OU CAVA DE 4,50M A 6M</v>
      </c>
      <c r="E1574" s="49" t="str">
        <f>'[3]Plan Tron'!E10</f>
        <v>M³</v>
      </c>
      <c r="F1574" s="27">
        <v>0.74</v>
      </c>
      <c r="G1574" s="9">
        <v>16.88</v>
      </c>
      <c r="H1574" s="9">
        <f>'[3]Plan Tron'!F10</f>
        <v>44</v>
      </c>
      <c r="I1574" s="172">
        <v>26.44</v>
      </c>
      <c r="J1574" s="172">
        <f t="shared" si="196"/>
        <v>55.63</v>
      </c>
      <c r="K1574" s="383">
        <v>0.74</v>
      </c>
      <c r="L1574" s="474">
        <f>F1574-K1574</f>
        <v>0</v>
      </c>
      <c r="M1574" s="471">
        <f t="shared" si="195"/>
        <v>0</v>
      </c>
      <c r="N1574" s="405"/>
      <c r="O1574" s="541"/>
      <c r="P1574" s="405"/>
      <c r="Q1574" s="405"/>
      <c r="S1574" s="344" t="str">
        <f t="shared" si="194"/>
        <v>ESCAVAÇÃO MANUAL EM SOLO DE 1ª E 2ª CATEGORIA EM VALA OU CAVA DE 4,50M A 6M</v>
      </c>
    </row>
    <row r="1575" spans="1:19" s="414" customFormat="1">
      <c r="A1575" s="410" t="s">
        <v>19</v>
      </c>
      <c r="B1575" s="411"/>
      <c r="C1575" s="410"/>
      <c r="D1575" s="434" t="s">
        <v>2244</v>
      </c>
      <c r="E1575" s="424" t="s">
        <v>76</v>
      </c>
      <c r="F1575" s="422"/>
      <c r="G1575" s="437"/>
      <c r="H1575" s="437"/>
      <c r="I1575" s="437"/>
      <c r="J1575" s="172"/>
      <c r="K1575" s="498"/>
      <c r="L1575" s="474"/>
      <c r="M1575" s="471"/>
      <c r="N1575" s="419"/>
      <c r="O1575" s="541"/>
      <c r="P1575" s="419"/>
      <c r="Q1575" s="419"/>
      <c r="S1575" s="414" t="str">
        <f t="shared" si="194"/>
        <v>CARGA,  DESCARGA E/ OU  TRANSPORTE  DE  MATERIAIS</v>
      </c>
    </row>
    <row r="1576" spans="1:19" s="344" customFormat="1" hidden="1">
      <c r="A1576" s="49" t="s">
        <v>147</v>
      </c>
      <c r="B1576" s="49">
        <f>'[3]Plan Tron'!B13</f>
        <v>72885</v>
      </c>
      <c r="C1576" s="49" t="str">
        <f>'[3]Plan Tron'!C13</f>
        <v>SINAPI</v>
      </c>
      <c r="D1576" s="612" t="str">
        <f>'[3]Plan Tron'!D13</f>
        <v>TRANSPORTE COMERCIAL COM CAMINHAO BASCULANTE 6 M3, RODOVIA EM LEITO NATURAL</v>
      </c>
      <c r="E1576" s="49" t="str">
        <f>'[3]Plan Tron'!E13</f>
        <v>M³ X KM</v>
      </c>
      <c r="F1576" s="21">
        <v>3377.04</v>
      </c>
      <c r="G1576" s="172">
        <v>1.29</v>
      </c>
      <c r="H1576" s="172">
        <f>'[3]Plan Tron'!F13</f>
        <v>1.37</v>
      </c>
      <c r="I1576" s="172">
        <v>26.44</v>
      </c>
      <c r="J1576" s="172">
        <f t="shared" si="196"/>
        <v>1.73</v>
      </c>
      <c r="K1576" s="383">
        <v>3377.04</v>
      </c>
      <c r="L1576" s="474">
        <f>F1576-K1576</f>
        <v>0</v>
      </c>
      <c r="M1576" s="471">
        <f t="shared" si="195"/>
        <v>0</v>
      </c>
      <c r="N1576" s="405"/>
      <c r="O1576" s="541"/>
      <c r="P1576" s="405"/>
      <c r="Q1576" s="405"/>
      <c r="S1576" s="344" t="str">
        <f t="shared" si="194"/>
        <v>TRANSPORTE COMERCIAL COM CAMINHAO BASCULANTE 6 M3, RODOVIA EM LEITO NATURAL</v>
      </c>
    </row>
    <row r="1577" spans="1:19" s="344" customFormat="1" ht="25.5">
      <c r="A1577" s="49" t="s">
        <v>213</v>
      </c>
      <c r="B1577" s="49">
        <f>'[3]Plan Tron'!B14</f>
        <v>72888</v>
      </c>
      <c r="C1577" s="49" t="str">
        <f>'[3]Plan Tron'!C14</f>
        <v>SINAPI</v>
      </c>
      <c r="D1577" s="614" t="str">
        <f>'[3]Plan Tron'!D14</f>
        <v>CARGA, MANOBRAS E DESCARGA DE AREIA, BRITA, PEDRA DE MAO E SOLOS COM CAMINHAO BASCULANTE 6 M3 (DESCARGA LIVRE)</v>
      </c>
      <c r="E1577" s="49" t="str">
        <f>'[3]Plan Tron'!E14</f>
        <v>M³</v>
      </c>
      <c r="F1577" s="21">
        <v>675.41</v>
      </c>
      <c r="G1577" s="172">
        <v>0.81</v>
      </c>
      <c r="H1577" s="172">
        <f>'[3]Plan Tron'!F14</f>
        <v>0.96</v>
      </c>
      <c r="I1577" s="172">
        <v>26.44</v>
      </c>
      <c r="J1577" s="172">
        <f t="shared" si="196"/>
        <v>1.21</v>
      </c>
      <c r="K1577" s="383">
        <v>0</v>
      </c>
      <c r="L1577" s="474">
        <f>F1577-K1577</f>
        <v>675.41</v>
      </c>
      <c r="M1577" s="471">
        <f t="shared" si="195"/>
        <v>817.25</v>
      </c>
      <c r="N1577" s="405"/>
      <c r="O1577" s="541"/>
      <c r="P1577" s="405"/>
      <c r="Q1577" s="405"/>
      <c r="S1577" s="344" t="str">
        <f t="shared" si="194"/>
        <v>CARGA, MANOBRAS E DESCARGA DE AREIA, BRITA, PEDRA DE MAO E SOLOS COM CAMINHAO BASCULANTE 6 M3 (DESCARGA LIVRE)</v>
      </c>
    </row>
    <row r="1578" spans="1:19" s="414" customFormat="1">
      <c r="A1578" s="410" t="s">
        <v>18</v>
      </c>
      <c r="B1578" s="411"/>
      <c r="C1578" s="410"/>
      <c r="D1578" s="434" t="s">
        <v>2100</v>
      </c>
      <c r="E1578" s="424" t="s">
        <v>76</v>
      </c>
      <c r="F1578" s="422"/>
      <c r="G1578" s="437"/>
      <c r="H1578" s="437"/>
      <c r="I1578" s="437"/>
      <c r="J1578" s="172"/>
      <c r="K1578" s="498"/>
      <c r="L1578" s="474"/>
      <c r="M1578" s="471"/>
      <c r="N1578" s="419"/>
      <c r="O1578" s="541"/>
      <c r="P1578" s="419"/>
      <c r="Q1578" s="419"/>
      <c r="S1578" s="414" t="str">
        <f t="shared" si="194"/>
        <v>COMPACTAÇÃO OU APILOAMENTO</v>
      </c>
    </row>
    <row r="1579" spans="1:19" s="344" customFormat="1" ht="25.5">
      <c r="A1579" s="49" t="s">
        <v>201</v>
      </c>
      <c r="B1579" s="49">
        <f>'[3]Plan Tron'!B89</f>
        <v>94098</v>
      </c>
      <c r="C1579" s="49" t="str">
        <f>'[3]Plan Tron'!C89</f>
        <v>SINAPI</v>
      </c>
      <c r="D1579" s="614" t="str">
        <f>'[3]Plan Tron'!D89</f>
        <v>PREPARO DE FUNDO DE VALA COM LARGURA MENOR QUE 1,5 M, EM LOCAL COM NÍVEL ALTO DE INTERFERÊNCIA. AF_06/2016</v>
      </c>
      <c r="E1579" s="49" t="str">
        <f>'[3]Plan Tron'!E89</f>
        <v>M²</v>
      </c>
      <c r="F1579" s="21">
        <v>50.4</v>
      </c>
      <c r="G1579" s="172">
        <v>3.24</v>
      </c>
      <c r="H1579" s="172">
        <f>'[3]Plan Tron'!F89</f>
        <v>5.53</v>
      </c>
      <c r="I1579" s="172">
        <v>26.44</v>
      </c>
      <c r="J1579" s="172">
        <f t="shared" si="196"/>
        <v>6.99</v>
      </c>
      <c r="K1579" s="383">
        <v>0</v>
      </c>
      <c r="L1579" s="474">
        <f>F1579-K1579</f>
        <v>50.4</v>
      </c>
      <c r="M1579" s="471">
        <f t="shared" si="195"/>
        <v>352.3</v>
      </c>
      <c r="N1579" s="405"/>
      <c r="O1579" s="541"/>
      <c r="P1579" s="405"/>
      <c r="Q1579" s="405"/>
      <c r="S1579" s="344" t="str">
        <f t="shared" si="194"/>
        <v>PREPARO DE FUNDO DE VALA COM LARGURA MENOR QUE 1,5 M, EM LOCAL COM NÍVEL ALTO DE INTERFERÊNCIA. AF_06/2016</v>
      </c>
    </row>
    <row r="1580" spans="1:19" s="344" customFormat="1">
      <c r="A1580" s="49"/>
      <c r="B1580" s="12"/>
      <c r="C1580" s="49"/>
      <c r="D1580" s="17"/>
      <c r="E1580" s="7"/>
      <c r="F1580" s="27"/>
      <c r="G1580" s="9"/>
      <c r="H1580" s="9"/>
      <c r="I1580" s="172"/>
      <c r="J1580" s="172"/>
      <c r="K1580" s="17"/>
      <c r="L1580" s="474"/>
      <c r="M1580" s="471"/>
      <c r="N1580" s="405"/>
      <c r="O1580" s="541"/>
      <c r="P1580" s="405"/>
      <c r="Q1580" s="405"/>
    </row>
    <row r="1581" spans="1:19" s="344" customFormat="1">
      <c r="A1581" s="49"/>
      <c r="B1581" s="12"/>
      <c r="C1581" s="49"/>
      <c r="D1581" s="130" t="s">
        <v>76</v>
      </c>
      <c r="E1581" s="7" t="s">
        <v>76</v>
      </c>
      <c r="F1581" s="27"/>
      <c r="G1581" s="9"/>
      <c r="H1581" s="9"/>
      <c r="I1581" s="172"/>
      <c r="J1581" s="172"/>
      <c r="K1581" s="383"/>
      <c r="L1581" s="474"/>
      <c r="M1581" s="471"/>
      <c r="N1581" s="405"/>
      <c r="O1581" s="541"/>
      <c r="P1581" s="405"/>
      <c r="Q1581" s="405"/>
      <c r="S1581" s="344" t="str">
        <f t="shared" ref="S1581:S1604" si="197">UPPER(D1581)</f>
        <v/>
      </c>
    </row>
    <row r="1582" spans="1:19" s="344" customFormat="1">
      <c r="A1582" s="45">
        <v>2</v>
      </c>
      <c r="B1582" s="23"/>
      <c r="C1582" s="45"/>
      <c r="D1582" s="399" t="s">
        <v>2054</v>
      </c>
      <c r="E1582" s="24" t="s">
        <v>76</v>
      </c>
      <c r="F1582" s="21"/>
      <c r="G1582" s="9"/>
      <c r="H1582" s="9"/>
      <c r="I1582" s="172"/>
      <c r="J1582" s="172"/>
      <c r="K1582" s="383"/>
      <c r="L1582" s="474"/>
      <c r="M1582" s="471"/>
      <c r="N1582" s="405"/>
      <c r="O1582" s="541"/>
      <c r="P1582" s="405"/>
      <c r="Q1582" s="405"/>
      <c r="S1582" s="344" t="str">
        <f t="shared" si="197"/>
        <v>FUNDAÇÕES E ESTRUTURAS</v>
      </c>
    </row>
    <row r="1583" spans="1:19" s="414" customFormat="1">
      <c r="A1583" s="410" t="s">
        <v>9</v>
      </c>
      <c r="B1583" s="425"/>
      <c r="C1583" s="410"/>
      <c r="D1583" s="426" t="s">
        <v>2112</v>
      </c>
      <c r="E1583" s="424" t="s">
        <v>76</v>
      </c>
      <c r="F1583" s="422"/>
      <c r="G1583" s="412"/>
      <c r="H1583" s="412"/>
      <c r="I1583" s="437"/>
      <c r="J1583" s="437"/>
      <c r="K1583" s="498"/>
      <c r="L1583" s="474"/>
      <c r="M1583" s="471"/>
      <c r="N1583" s="419"/>
      <c r="O1583" s="541"/>
      <c r="P1583" s="419"/>
      <c r="Q1583" s="419"/>
      <c r="S1583" s="414" t="str">
        <f t="shared" si="197"/>
        <v>ESTACAS</v>
      </c>
    </row>
    <row r="1584" spans="1:19" s="414" customFormat="1">
      <c r="A1584" s="410" t="s">
        <v>348</v>
      </c>
      <c r="B1584" s="425"/>
      <c r="C1584" s="410"/>
      <c r="D1584" s="426" t="s">
        <v>2217</v>
      </c>
      <c r="E1584" s="424" t="s">
        <v>76</v>
      </c>
      <c r="F1584" s="422"/>
      <c r="G1584" s="412"/>
      <c r="H1584" s="412"/>
      <c r="I1584" s="437"/>
      <c r="J1584" s="437"/>
      <c r="K1584" s="498"/>
      <c r="L1584" s="474"/>
      <c r="M1584" s="471"/>
      <c r="N1584" s="419"/>
      <c r="O1584" s="541"/>
      <c r="P1584" s="419"/>
      <c r="Q1584" s="419"/>
      <c r="S1584" s="414" t="str">
        <f t="shared" si="197"/>
        <v>ESTACA ESCAVADA</v>
      </c>
    </row>
    <row r="1585" spans="1:19" s="344" customFormat="1" ht="25.5">
      <c r="A1585" s="49" t="s">
        <v>417</v>
      </c>
      <c r="B1585" s="49">
        <f>'[3]Plan Tron'!B73</f>
        <v>90808</v>
      </c>
      <c r="C1585" s="49" t="str">
        <f>'[3]Plan Tron'!C73</f>
        <v>SINAPI</v>
      </c>
      <c r="D1585" s="614" t="str">
        <f>'[3]Plan Tron'!D73</f>
        <v>ESTACA HÉLICE CONTÍNUA, DIÂMETRO DE 30 CM, COMPRIMENTO TOTAL ATÉ 15 M, PERFURATRIZ COM TORQUE DE 170 KN.M (EXCLUSIVE MOBILIZAÇÃO E DESMOBILIZAÇÃO). AF_02/2015</v>
      </c>
      <c r="E1585" s="49" t="str">
        <f>'[3]Plan Tron'!E73</f>
        <v>M</v>
      </c>
      <c r="F1585" s="21">
        <v>90</v>
      </c>
      <c r="G1585" s="9">
        <v>21</v>
      </c>
      <c r="H1585" s="9">
        <f>'[3]Plan Tron'!F73</f>
        <v>59.34</v>
      </c>
      <c r="I1585" s="172">
        <v>26.44</v>
      </c>
      <c r="J1585" s="172">
        <f>ROUND(H1585*(I1585/100+1),2)</f>
        <v>75.03</v>
      </c>
      <c r="K1585" s="474">
        <v>85.5</v>
      </c>
      <c r="L1585" s="474">
        <f>F1585-K1585</f>
        <v>4.5</v>
      </c>
      <c r="M1585" s="471">
        <f t="shared" si="195"/>
        <v>337.64</v>
      </c>
      <c r="N1585" s="405"/>
      <c r="O1585" s="541"/>
      <c r="P1585" s="405"/>
      <c r="Q1585" s="405"/>
      <c r="S1585" s="344" t="str">
        <f t="shared" si="197"/>
        <v>ESTACA HÉLICE CONTÍNUA, DIÂMETRO DE 30 CM, COMPRIMENTO TOTAL ATÉ 15 M, PERFURATRIZ COM TORQUE DE 170 KN.M (EXCLUSIVE MOBILIZAÇÃO E DESMOBILIZAÇÃO). AF_02/2015</v>
      </c>
    </row>
    <row r="1586" spans="1:19" s="414" customFormat="1">
      <c r="A1586" s="410" t="s">
        <v>8</v>
      </c>
      <c r="B1586" s="425"/>
      <c r="C1586" s="410"/>
      <c r="D1586" s="426" t="s">
        <v>2055</v>
      </c>
      <c r="E1586" s="424" t="s">
        <v>76</v>
      </c>
      <c r="F1586" s="422"/>
      <c r="G1586" s="412"/>
      <c r="H1586" s="412"/>
      <c r="I1586" s="437"/>
      <c r="J1586" s="172"/>
      <c r="K1586" s="498"/>
      <c r="L1586" s="474"/>
      <c r="M1586" s="471"/>
      <c r="N1586" s="419"/>
      <c r="O1586" s="541"/>
      <c r="P1586" s="419"/>
      <c r="Q1586" s="419"/>
      <c r="S1586" s="414" t="str">
        <f t="shared" si="197"/>
        <v>LASTROS / FUNDAÇÕES DIRETAS</v>
      </c>
    </row>
    <row r="1587" spans="1:19" s="414" customFormat="1">
      <c r="A1587" s="410" t="s">
        <v>317</v>
      </c>
      <c r="B1587" s="425"/>
      <c r="C1587" s="410"/>
      <c r="D1587" s="426" t="s">
        <v>2281</v>
      </c>
      <c r="E1587" s="424" t="s">
        <v>76</v>
      </c>
      <c r="F1587" s="422"/>
      <c r="G1587" s="412"/>
      <c r="H1587" s="412"/>
      <c r="I1587" s="437"/>
      <c r="J1587" s="172"/>
      <c r="K1587" s="498"/>
      <c r="L1587" s="474"/>
      <c r="M1587" s="471"/>
      <c r="N1587" s="419"/>
      <c r="O1587" s="541"/>
      <c r="P1587" s="419"/>
      <c r="Q1587" s="419"/>
      <c r="S1587" s="414" t="str">
        <f t="shared" si="197"/>
        <v>LASTRO DE PEDRA BRITADA E FUNDAÇÕES EM BALDRAME</v>
      </c>
    </row>
    <row r="1588" spans="1:19" s="344" customFormat="1">
      <c r="A1588" s="49" t="s">
        <v>318</v>
      </c>
      <c r="B1588" s="49">
        <f>'[3]Plan Tron'!B18</f>
        <v>6514</v>
      </c>
      <c r="C1588" s="49" t="str">
        <f>'[3]Plan Tron'!C18</f>
        <v>SINAPI</v>
      </c>
      <c r="D1588" s="137" t="str">
        <f>'[3]Plan Tron'!D18</f>
        <v xml:space="preserve">FORNECIMENTO E LANCAMENTO DE BRITA N. 4 </v>
      </c>
      <c r="E1588" s="137" t="str">
        <f>'[3]Plan Tron'!E18</f>
        <v>M³</v>
      </c>
      <c r="F1588" s="21">
        <v>2.4900000000000002</v>
      </c>
      <c r="G1588" s="9">
        <f>G78</f>
        <v>74.28</v>
      </c>
      <c r="H1588" s="9">
        <f>'[3]Plan Tron'!F18</f>
        <v>88.38</v>
      </c>
      <c r="I1588" s="172">
        <v>26.44</v>
      </c>
      <c r="J1588" s="172">
        <f t="shared" ref="J1588:J1604" si="198">ROUND(H1588*(I1588/100+1),2)</f>
        <v>111.75</v>
      </c>
      <c r="K1588" s="383">
        <v>0</v>
      </c>
      <c r="L1588" s="474">
        <f>F1588-K1588</f>
        <v>2.4900000000000002</v>
      </c>
      <c r="M1588" s="471">
        <f t="shared" si="195"/>
        <v>278.26</v>
      </c>
      <c r="N1588" s="405"/>
      <c r="O1588" s="541"/>
      <c r="P1588" s="405"/>
      <c r="Q1588" s="405"/>
      <c r="S1588" s="344" t="str">
        <f t="shared" si="197"/>
        <v xml:space="preserve">FORNECIMENTO E LANCAMENTO DE BRITA N. 4 </v>
      </c>
    </row>
    <row r="1589" spans="1:19" s="414" customFormat="1">
      <c r="A1589" s="410" t="s">
        <v>7</v>
      </c>
      <c r="B1589" s="646"/>
      <c r="C1589" s="410"/>
      <c r="D1589" s="647" t="s">
        <v>2058</v>
      </c>
      <c r="E1589" s="648" t="s">
        <v>76</v>
      </c>
      <c r="F1589" s="649"/>
      <c r="G1589" s="412"/>
      <c r="H1589" s="412"/>
      <c r="I1589" s="437"/>
      <c r="J1589" s="172"/>
      <c r="K1589" s="498"/>
      <c r="L1589" s="474"/>
      <c r="M1589" s="471"/>
      <c r="N1589" s="419"/>
      <c r="O1589" s="541"/>
      <c r="P1589" s="419"/>
      <c r="Q1589" s="419"/>
      <c r="S1589" s="414" t="str">
        <f t="shared" si="197"/>
        <v>FORMAS / CIMBRAMENTOS / ESCORAMENTOS</v>
      </c>
    </row>
    <row r="1590" spans="1:19" s="344" customFormat="1">
      <c r="A1590" s="49" t="s">
        <v>314</v>
      </c>
      <c r="B1590" s="49">
        <f>'[3]Plan Tron'!B20</f>
        <v>5651</v>
      </c>
      <c r="C1590" s="49" t="str">
        <f>'[3]Plan Tron'!C20</f>
        <v>SINAPI</v>
      </c>
      <c r="D1590" s="614" t="str">
        <f>'[3]Plan Tron'!D20</f>
        <v>FORMA DE MADEIRA COMUM PARA FUNDAÇÕES - REAPROVEITAMENTO 5X.</v>
      </c>
      <c r="E1590" s="49" t="str">
        <f>'[3]Plan Tron'!E20</f>
        <v>M²</v>
      </c>
      <c r="F1590" s="21">
        <v>59.51</v>
      </c>
      <c r="G1590" s="9">
        <v>22.96</v>
      </c>
      <c r="H1590" s="9">
        <f>'[3]Plan Tron'!F20</f>
        <v>29.01</v>
      </c>
      <c r="I1590" s="172">
        <v>26.44</v>
      </c>
      <c r="J1590" s="172">
        <f t="shared" si="198"/>
        <v>36.68</v>
      </c>
      <c r="K1590" s="383">
        <v>0</v>
      </c>
      <c r="L1590" s="474">
        <f>F1590-K1590</f>
        <v>59.51</v>
      </c>
      <c r="M1590" s="471">
        <f t="shared" si="195"/>
        <v>2182.83</v>
      </c>
      <c r="N1590" s="405"/>
      <c r="O1590" s="541"/>
      <c r="P1590" s="405"/>
      <c r="Q1590" s="405"/>
      <c r="S1590" s="344" t="str">
        <f t="shared" si="197"/>
        <v>FORMA DE MADEIRA COMUM PARA FUNDAÇÕES - REAPROVEITAMENTO 5X.</v>
      </c>
    </row>
    <row r="1591" spans="1:19" s="344" customFormat="1" ht="25.5">
      <c r="A1591" s="49" t="s">
        <v>347</v>
      </c>
      <c r="B1591" s="49" t="str">
        <f>'[3]Plan Tron'!B74</f>
        <v xml:space="preserve">92264 </v>
      </c>
      <c r="C1591" s="49" t="str">
        <f>'[3]Plan Tron'!C74</f>
        <v>SINAPI</v>
      </c>
      <c r="D1591" s="614" t="str">
        <f>'[3]Plan Tron'!D74</f>
        <v>FABRICAÇÃO DE FÔRMA PARA PILARES E ESTRUTURAS SIMILARES, EM CHAPA DE MADEIRA COMPENSADA PLASTIFICADA, E = 18 MM. AF_12/2015</v>
      </c>
      <c r="E1591" s="49" t="str">
        <f>'[3]Plan Tron'!E74</f>
        <v>M²</v>
      </c>
      <c r="F1591" s="21">
        <v>159.09</v>
      </c>
      <c r="G1591" s="9">
        <v>32.619999999999997</v>
      </c>
      <c r="H1591" s="9">
        <f>'[3]Plan Tron'!F74</f>
        <v>99.07</v>
      </c>
      <c r="I1591" s="172">
        <v>26.44</v>
      </c>
      <c r="J1591" s="172">
        <f t="shared" si="198"/>
        <v>125.26</v>
      </c>
      <c r="K1591" s="383">
        <v>0</v>
      </c>
      <c r="L1591" s="474">
        <f>F1591-K1591</f>
        <v>159.09</v>
      </c>
      <c r="M1591" s="471">
        <f t="shared" si="195"/>
        <v>19927.61</v>
      </c>
      <c r="N1591" s="405"/>
      <c r="O1591" s="541"/>
      <c r="P1591" s="405"/>
      <c r="Q1591" s="405"/>
      <c r="S1591" s="344" t="str">
        <f t="shared" si="197"/>
        <v>FABRICAÇÃO DE FÔRMA PARA PILARES E ESTRUTURAS SIMILARES, EM CHAPA DE MADEIRA COMPENSADA PLASTIFICADA, E = 18 MM. AF_12/2015</v>
      </c>
    </row>
    <row r="1592" spans="1:19" s="344" customFormat="1">
      <c r="A1592" s="49" t="s">
        <v>945</v>
      </c>
      <c r="B1592" s="49" t="str">
        <f>'[3]Plan Tron'!B66</f>
        <v xml:space="preserve">080202 </v>
      </c>
      <c r="C1592" s="49" t="str">
        <f>'[3]Plan Tron'!C66</f>
        <v>CPOS</v>
      </c>
      <c r="D1592" s="612" t="str">
        <f>'[3]Plan Tron'!D66</f>
        <v>CIMBRAMENTO EM MADEIRA COM ESTRONCAS DE EUCALIPTO</v>
      </c>
      <c r="E1592" s="49" t="str">
        <f>'[3]Plan Tron'!E66</f>
        <v>M³</v>
      </c>
      <c r="F1592" s="21">
        <v>69.5</v>
      </c>
      <c r="G1592" s="9">
        <v>25.02</v>
      </c>
      <c r="H1592" s="9">
        <f>'[3]Plan Tron'!F66</f>
        <v>27.46</v>
      </c>
      <c r="I1592" s="172">
        <v>26.44</v>
      </c>
      <c r="J1592" s="172">
        <f t="shared" si="198"/>
        <v>34.72</v>
      </c>
      <c r="K1592" s="383">
        <v>0</v>
      </c>
      <c r="L1592" s="474">
        <f>F1592-K1592</f>
        <v>69.5</v>
      </c>
      <c r="M1592" s="471">
        <f t="shared" si="195"/>
        <v>2413.04</v>
      </c>
      <c r="N1592" s="405"/>
      <c r="O1592" s="541"/>
      <c r="P1592" s="405"/>
      <c r="Q1592" s="405"/>
      <c r="S1592" s="344" t="str">
        <f t="shared" si="197"/>
        <v>CIMBRAMENTO EM MADEIRA COM ESTRONCAS DE EUCALIPTO</v>
      </c>
    </row>
    <row r="1593" spans="1:19" s="414" customFormat="1">
      <c r="A1593" s="410" t="s">
        <v>6</v>
      </c>
      <c r="B1593" s="425"/>
      <c r="C1593" s="410"/>
      <c r="D1593" s="426" t="s">
        <v>2059</v>
      </c>
      <c r="E1593" s="421" t="s">
        <v>76</v>
      </c>
      <c r="F1593" s="423"/>
      <c r="G1593" s="412"/>
      <c r="H1593" s="412"/>
      <c r="I1593" s="437"/>
      <c r="J1593" s="172"/>
      <c r="K1593" s="498"/>
      <c r="L1593" s="474"/>
      <c r="M1593" s="471"/>
      <c r="N1593" s="419"/>
      <c r="O1593" s="541"/>
      <c r="P1593" s="419"/>
      <c r="Q1593" s="419"/>
      <c r="S1593" s="414" t="str">
        <f t="shared" si="197"/>
        <v>ARMADURAS</v>
      </c>
    </row>
    <row r="1594" spans="1:19" s="414" customFormat="1">
      <c r="A1594" s="410" t="s">
        <v>311</v>
      </c>
      <c r="B1594" s="425"/>
      <c r="C1594" s="410"/>
      <c r="D1594" s="426" t="s">
        <v>2060</v>
      </c>
      <c r="E1594" s="421" t="s">
        <v>76</v>
      </c>
      <c r="F1594" s="623"/>
      <c r="G1594" s="412"/>
      <c r="H1594" s="412"/>
      <c r="I1594" s="437"/>
      <c r="J1594" s="172"/>
      <c r="K1594" s="498"/>
      <c r="L1594" s="474"/>
      <c r="M1594" s="471"/>
      <c r="N1594" s="419"/>
      <c r="O1594" s="541"/>
      <c r="P1594" s="419"/>
      <c r="Q1594" s="419"/>
      <c r="S1594" s="414" t="str">
        <f t="shared" si="197"/>
        <v>ARMAÇÃO EM AÇO CA-50 PARA ESTRUTURAS DE CONCRETO.</v>
      </c>
    </row>
    <row r="1595" spans="1:19" s="344" customFormat="1" ht="25.5">
      <c r="A1595" s="49" t="s">
        <v>310</v>
      </c>
      <c r="B1595" s="49">
        <f>'[3]Plan Tron'!B91</f>
        <v>92765</v>
      </c>
      <c r="C1595" s="49" t="str">
        <f>'[3]Plan Tron'!C91</f>
        <v>SINAPI</v>
      </c>
      <c r="D1595" s="614" t="str">
        <f>'[3]Plan Tron'!D91</f>
        <v>ARMAÇÃO DE PILAR OU VIGA DE UMA ESTRUTURA CONVENCIONAL DE CONCRETO ARMADO EM UM EDIFÍCIO DE MÚLTIPLOS PAVIMENTOS UTILIZANDO AÇO CA-50 DE 20.0 MM - MONTAGEM. AF_12/2015</v>
      </c>
      <c r="E1595" s="49" t="str">
        <f>'[3]Plan Tron'!E91</f>
        <v>KG</v>
      </c>
      <c r="F1595" s="36">
        <v>208</v>
      </c>
      <c r="G1595" s="9">
        <v>6.66</v>
      </c>
      <c r="H1595" s="9">
        <f>'[3]Plan Tron'!F91</f>
        <v>4.32</v>
      </c>
      <c r="I1595" s="172">
        <v>26.44</v>
      </c>
      <c r="J1595" s="172">
        <f t="shared" si="198"/>
        <v>5.46</v>
      </c>
      <c r="K1595" s="658">
        <v>187.20000000000002</v>
      </c>
      <c r="L1595" s="474">
        <f>F1595-K1595</f>
        <v>20.799999999999983</v>
      </c>
      <c r="M1595" s="471">
        <f t="shared" si="195"/>
        <v>113.57</v>
      </c>
      <c r="N1595" s="405"/>
      <c r="O1595" s="541"/>
      <c r="P1595" s="405"/>
      <c r="Q1595" s="405"/>
      <c r="S1595" s="344" t="str">
        <f t="shared" si="197"/>
        <v>ARMAÇÃO DE PILAR OU VIGA DE UMA ESTRUTURA CONVENCIONAL DE CONCRETO ARMADO EM UM EDIFÍCIO DE MÚLTIPLOS PAVIMENTOS UTILIZANDO AÇO CA-50 DE 20.0 MM - MONTAGEM. AF_12/2015</v>
      </c>
    </row>
    <row r="1596" spans="1:19" s="344" customFormat="1" ht="25.5">
      <c r="A1596" s="49" t="s">
        <v>309</v>
      </c>
      <c r="B1596" s="49">
        <f>'[3]Plan Tron'!B90</f>
        <v>92763</v>
      </c>
      <c r="C1596" s="49" t="str">
        <f>'[3]Plan Tron'!C90</f>
        <v>SINAPI</v>
      </c>
      <c r="D1596" s="614" t="str">
        <f>'[3]Plan Tron'!D90</f>
        <v>ARMAÇÃO DE PILAR OU VIGA DE UMA ESTRUTURA CONVENCIONAL DE CONCRETO ARMADO EM UM EDIFÍCIO DE MÚLTIPLOS PAVIMENTOS UTILIZANDO AÇO CA-50 DE 12.5 MM - MONTAGEM. AF_12/2015</v>
      </c>
      <c r="E1596" s="49" t="str">
        <f>'[3]Plan Tron'!E90</f>
        <v>KG</v>
      </c>
      <c r="F1596" s="21">
        <v>1765</v>
      </c>
      <c r="G1596" s="9">
        <f>G85</f>
        <v>5.9</v>
      </c>
      <c r="H1596" s="9">
        <f>'[3]Plan Tron'!F90</f>
        <v>6.29</v>
      </c>
      <c r="I1596" s="172">
        <v>26.44</v>
      </c>
      <c r="J1596" s="172">
        <f t="shared" si="198"/>
        <v>7.95</v>
      </c>
      <c r="K1596" s="383">
        <v>0</v>
      </c>
      <c r="L1596" s="474">
        <f>F1596-K1596</f>
        <v>1765</v>
      </c>
      <c r="M1596" s="471">
        <f t="shared" si="195"/>
        <v>14031.75</v>
      </c>
      <c r="N1596" s="405"/>
      <c r="O1596" s="541"/>
      <c r="P1596" s="405"/>
      <c r="Q1596" s="405"/>
      <c r="S1596" s="344" t="str">
        <f t="shared" si="197"/>
        <v>ARMAÇÃO DE PILAR OU VIGA DE UMA ESTRUTURA CONVENCIONAL DE CONCRETO ARMADO EM UM EDIFÍCIO DE MÚLTIPLOS PAVIMENTOS UTILIZANDO AÇO CA-50 DE 12.5 MM - MONTAGEM. AF_12/2015</v>
      </c>
    </row>
    <row r="1597" spans="1:19" s="414" customFormat="1">
      <c r="A1597" s="410" t="s">
        <v>710</v>
      </c>
      <c r="B1597" s="425"/>
      <c r="C1597" s="410"/>
      <c r="D1597" s="426" t="s">
        <v>2171</v>
      </c>
      <c r="E1597" s="421" t="s">
        <v>76</v>
      </c>
      <c r="F1597" s="422"/>
      <c r="G1597" s="412"/>
      <c r="H1597" s="412"/>
      <c r="I1597" s="437"/>
      <c r="J1597" s="172"/>
      <c r="K1597" s="498"/>
      <c r="L1597" s="474"/>
      <c r="M1597" s="471"/>
      <c r="N1597" s="419"/>
      <c r="O1597" s="541"/>
      <c r="P1597" s="419"/>
      <c r="Q1597" s="419"/>
      <c r="S1597" s="414" t="str">
        <f t="shared" si="197"/>
        <v>ARMAÇÃO EM TELA SOLDADA</v>
      </c>
    </row>
    <row r="1598" spans="1:19" s="344" customFormat="1">
      <c r="A1598" s="49" t="s">
        <v>944</v>
      </c>
      <c r="B1598" s="49" t="str">
        <f>'[3]Plan Tron'!B106</f>
        <v xml:space="preserve">73994/001 </v>
      </c>
      <c r="C1598" s="49" t="str">
        <f>'[3]Plan Tron'!C106</f>
        <v>SINAPI</v>
      </c>
      <c r="D1598" s="612" t="str">
        <f>'[3]Plan Tron'!D106</f>
        <v>ARMACAO EM TELA DE ACO SOLDADA NERVURADA Q-138, ACO CA-60, 4,2MM, MALHA 10X10CM</v>
      </c>
      <c r="E1598" s="49" t="str">
        <f>'[3]Plan Tron'!E106</f>
        <v>KG</v>
      </c>
      <c r="F1598" s="21">
        <v>65.28</v>
      </c>
      <c r="G1598" s="9">
        <v>10.92</v>
      </c>
      <c r="H1598" s="9">
        <f>'[3]Plan Tron'!F106</f>
        <v>5.97</v>
      </c>
      <c r="I1598" s="172">
        <v>26.44</v>
      </c>
      <c r="J1598" s="172">
        <f t="shared" si="198"/>
        <v>7.55</v>
      </c>
      <c r="K1598" s="383"/>
      <c r="L1598" s="474">
        <f>F1598-K1598</f>
        <v>65.28</v>
      </c>
      <c r="M1598" s="471">
        <f t="shared" si="195"/>
        <v>492.86</v>
      </c>
      <c r="N1598" s="405"/>
      <c r="O1598" s="541"/>
      <c r="P1598" s="405"/>
      <c r="Q1598" s="405"/>
      <c r="S1598" s="344" t="str">
        <f t="shared" si="197"/>
        <v>ARMACAO EM TELA DE ACO SOLDADA NERVURADA Q-138, ACO CA-60, 4,2MM, MALHA 10X10CM</v>
      </c>
    </row>
    <row r="1599" spans="1:19" s="414" customFormat="1">
      <c r="A1599" s="410" t="s">
        <v>5</v>
      </c>
      <c r="B1599" s="646"/>
      <c r="C1599" s="410"/>
      <c r="D1599" s="647" t="s">
        <v>2061</v>
      </c>
      <c r="E1599" s="648" t="s">
        <v>76</v>
      </c>
      <c r="F1599" s="649"/>
      <c r="G1599" s="412"/>
      <c r="H1599" s="412"/>
      <c r="I1599" s="437"/>
      <c r="J1599" s="172"/>
      <c r="K1599" s="498"/>
      <c r="L1599" s="474"/>
      <c r="M1599" s="471"/>
      <c r="N1599" s="419"/>
      <c r="O1599" s="541"/>
      <c r="P1599" s="419"/>
      <c r="Q1599" s="419"/>
      <c r="S1599" s="414" t="str">
        <f t="shared" si="197"/>
        <v>CONCRETOS</v>
      </c>
    </row>
    <row r="1600" spans="1:19" s="344" customFormat="1">
      <c r="A1600" s="49" t="s">
        <v>346</v>
      </c>
      <c r="B1600" s="49">
        <f>'[3]Plan Tron'!B23</f>
        <v>110404</v>
      </c>
      <c r="C1600" s="49" t="str">
        <f>'[3]Plan Tron'!C23</f>
        <v>CPOS</v>
      </c>
      <c r="D1600" s="612" t="str">
        <f>UPPER('[3]Plan Tron'!D23)</f>
        <v>CONCRETO NÃO ESTRUTURAL EXECUTADO NO LOCAL, MÍNIMO 200 KG CIMENTO / M³</v>
      </c>
      <c r="E1600" s="49" t="str">
        <f>'[3]Plan Tron'!E23</f>
        <v>M³</v>
      </c>
      <c r="F1600" s="21">
        <v>13.48</v>
      </c>
      <c r="G1600" s="9">
        <v>238.25</v>
      </c>
      <c r="H1600" s="9">
        <f>'[3]Plan Tron'!F23</f>
        <v>231.91</v>
      </c>
      <c r="I1600" s="172">
        <v>26.44</v>
      </c>
      <c r="J1600" s="172">
        <f t="shared" si="198"/>
        <v>293.23</v>
      </c>
      <c r="K1600" s="658">
        <v>6.74</v>
      </c>
      <c r="L1600" s="474">
        <f>F1600-K1600</f>
        <v>6.74</v>
      </c>
      <c r="M1600" s="471">
        <f t="shared" si="195"/>
        <v>1976.37</v>
      </c>
      <c r="N1600" s="405"/>
      <c r="O1600" s="541"/>
      <c r="P1600" s="405"/>
      <c r="Q1600" s="405"/>
      <c r="S1600" s="344" t="str">
        <f t="shared" si="197"/>
        <v>CONCRETO NÃO ESTRUTURAL EXECUTADO NO LOCAL, MÍNIMO 200 KG CIMENTO / M³</v>
      </c>
    </row>
    <row r="1601" spans="1:19" s="414" customFormat="1">
      <c r="A1601" s="410" t="s">
        <v>706</v>
      </c>
      <c r="B1601" s="425"/>
      <c r="C1601" s="410"/>
      <c r="D1601" s="426" t="s">
        <v>2062</v>
      </c>
      <c r="E1601" s="421" t="s">
        <v>76</v>
      </c>
      <c r="F1601" s="623"/>
      <c r="G1601" s="412"/>
      <c r="H1601" s="412"/>
      <c r="I1601" s="437"/>
      <c r="J1601" s="172"/>
      <c r="K1601" s="498"/>
      <c r="L1601" s="474"/>
      <c r="M1601" s="471"/>
      <c r="N1601" s="419"/>
      <c r="O1601" s="541"/>
      <c r="P1601" s="419"/>
      <c r="Q1601" s="419"/>
      <c r="S1601" s="414" t="str">
        <f t="shared" si="197"/>
        <v>CONCRETO BOMBEADO</v>
      </c>
    </row>
    <row r="1602" spans="1:19" s="344" customFormat="1">
      <c r="A1602" s="49" t="s">
        <v>1137</v>
      </c>
      <c r="B1602" s="49">
        <f>'[3]Plan Tron'!B27</f>
        <v>110132</v>
      </c>
      <c r="C1602" s="49" t="str">
        <f>'[3]Plan Tron'!C27</f>
        <v>CPOS</v>
      </c>
      <c r="D1602" s="612" t="str">
        <f>'[3]Plan Tron'!D27</f>
        <v xml:space="preserve">CONCRETO USINADO, FCK=30MPa - PARA BOMBEAMENTO </v>
      </c>
      <c r="E1602" s="49" t="str">
        <f>'[3]Plan Tron'!E27</f>
        <v>M³</v>
      </c>
      <c r="F1602" s="21">
        <v>25.09</v>
      </c>
      <c r="G1602" s="9">
        <v>336.65</v>
      </c>
      <c r="H1602" s="9">
        <f>'[3]Plan Tron'!F27</f>
        <v>311.94</v>
      </c>
      <c r="I1602" s="172">
        <v>26.44</v>
      </c>
      <c r="J1602" s="172">
        <f t="shared" si="198"/>
        <v>394.42</v>
      </c>
      <c r="K1602" s="383">
        <v>0</v>
      </c>
      <c r="L1602" s="474">
        <f>F1602-K1602</f>
        <v>25.09</v>
      </c>
      <c r="M1602" s="471">
        <f t="shared" si="195"/>
        <v>9896</v>
      </c>
      <c r="N1602" s="405"/>
      <c r="O1602" s="541"/>
      <c r="P1602" s="405"/>
      <c r="Q1602" s="405"/>
      <c r="S1602" s="344" t="str">
        <f t="shared" si="197"/>
        <v xml:space="preserve">CONCRETO USINADO, FCK=30MPA - PARA BOMBEAMENTO </v>
      </c>
    </row>
    <row r="1603" spans="1:19" s="344" customFormat="1">
      <c r="A1603" s="49" t="s">
        <v>943</v>
      </c>
      <c r="B1603" s="49">
        <f>'[3]Plan Tron'!B197</f>
        <v>89993</v>
      </c>
      <c r="C1603" s="49" t="str">
        <f>'[3]Plan Tron'!C197</f>
        <v>SINAPI</v>
      </c>
      <c r="D1603" s="612" t="str">
        <f>'[3]Plan Tron'!D197</f>
        <v xml:space="preserve">GRAUTEAMENTO VERTICAL EM ALVENARIA ESTRUTURAL. AF_01/2015 </v>
      </c>
      <c r="E1603" s="49" t="str">
        <f>'[3]Plan Tron'!E197</f>
        <v>M³</v>
      </c>
      <c r="F1603" s="21">
        <v>7.18</v>
      </c>
      <c r="G1603" s="9">
        <v>371.86</v>
      </c>
      <c r="H1603" s="9">
        <f>'[3]Plan Tron'!F197</f>
        <v>580.12</v>
      </c>
      <c r="I1603" s="172">
        <v>26.44</v>
      </c>
      <c r="J1603" s="172">
        <f t="shared" si="198"/>
        <v>733.5</v>
      </c>
      <c r="K1603" s="383">
        <v>0</v>
      </c>
      <c r="L1603" s="474">
        <f>F1603-K1603</f>
        <v>7.18</v>
      </c>
      <c r="M1603" s="471">
        <f t="shared" si="195"/>
        <v>5266.53</v>
      </c>
      <c r="N1603" s="405"/>
      <c r="O1603" s="541"/>
      <c r="P1603" s="405"/>
      <c r="Q1603" s="405"/>
      <c r="S1603" s="344" t="str">
        <f t="shared" si="197"/>
        <v xml:space="preserve">GRAUTEAMENTO VERTICAL EM ALVENARIA ESTRUTURAL. AF_01/2015 </v>
      </c>
    </row>
    <row r="1604" spans="1:19" s="344" customFormat="1">
      <c r="A1604" s="49" t="s">
        <v>4</v>
      </c>
      <c r="B1604" s="29" t="s">
        <v>1673</v>
      </c>
      <c r="C1604" s="49"/>
      <c r="D1604" s="63" t="s">
        <v>2282</v>
      </c>
      <c r="E1604" s="28" t="s">
        <v>2340</v>
      </c>
      <c r="F1604" s="21">
        <v>1</v>
      </c>
      <c r="G1604" s="9">
        <v>980.11</v>
      </c>
      <c r="H1604" s="9">
        <f t="shared" ref="H1604" si="199">G1604*$P$7</f>
        <v>1132.321083</v>
      </c>
      <c r="I1604" s="172">
        <v>26.44</v>
      </c>
      <c r="J1604" s="172">
        <f t="shared" si="198"/>
        <v>1431.71</v>
      </c>
      <c r="K1604" s="383">
        <v>0</v>
      </c>
      <c r="L1604" s="474">
        <f>F1604-K1604</f>
        <v>1</v>
      </c>
      <c r="M1604" s="471">
        <f t="shared" si="195"/>
        <v>1431.71</v>
      </c>
      <c r="N1604" s="405"/>
      <c r="O1604" s="541"/>
      <c r="P1604" s="405"/>
      <c r="Q1604" s="405"/>
      <c r="S1604" s="344" t="str">
        <f t="shared" si="197"/>
        <v>EXECUÇÃO DE POÇO DE DRENAGEM COM TUBOS DE CONCRETO ARMADO EA-2  DE D=1,00 E H=0,50M.</v>
      </c>
    </row>
    <row r="1605" spans="1:19">
      <c r="A1605" s="49"/>
      <c r="B1605" s="17"/>
      <c r="C1605" s="49"/>
      <c r="D1605" s="17"/>
      <c r="E1605" s="7"/>
      <c r="F1605" s="10"/>
      <c r="G1605" s="27"/>
      <c r="H1605" s="27"/>
      <c r="I1605" s="172"/>
      <c r="J1605" s="172"/>
      <c r="K1605" s="17"/>
      <c r="L1605" s="474"/>
      <c r="M1605" s="471"/>
      <c r="N1605" s="405"/>
      <c r="O1605" s="541"/>
      <c r="P1605" s="405"/>
      <c r="Q1605" s="405"/>
    </row>
    <row r="1606" spans="1:19">
      <c r="A1606" s="49"/>
      <c r="B1606" s="17"/>
      <c r="C1606" s="49"/>
      <c r="D1606" s="53" t="s">
        <v>76</v>
      </c>
      <c r="E1606" s="7" t="s">
        <v>76</v>
      </c>
      <c r="F1606" s="10"/>
      <c r="G1606" s="27"/>
      <c r="H1606" s="27"/>
      <c r="I1606" s="172"/>
      <c r="J1606" s="172"/>
      <c r="K1606" s="383"/>
      <c r="L1606" s="474"/>
      <c r="M1606" s="471"/>
      <c r="N1606" s="405"/>
      <c r="O1606" s="541"/>
      <c r="P1606" s="405"/>
      <c r="Q1606" s="405"/>
      <c r="S1606" s="344" t="str">
        <f t="shared" ref="S1606:S1615" si="200">UPPER(D1606)</f>
        <v/>
      </c>
    </row>
    <row r="1607" spans="1:19" s="344" customFormat="1">
      <c r="A1607" s="45">
        <v>3</v>
      </c>
      <c r="B1607" s="17"/>
      <c r="C1607" s="45"/>
      <c r="D1607" s="53" t="s">
        <v>2067</v>
      </c>
      <c r="E1607" s="7" t="s">
        <v>76</v>
      </c>
      <c r="F1607" s="10"/>
      <c r="G1607" s="27"/>
      <c r="H1607" s="27"/>
      <c r="I1607" s="172"/>
      <c r="J1607" s="172"/>
      <c r="K1607" s="383"/>
      <c r="L1607" s="474"/>
      <c r="M1607" s="471"/>
      <c r="N1607" s="405"/>
      <c r="O1607" s="541"/>
      <c r="P1607" s="405"/>
      <c r="Q1607" s="405"/>
      <c r="S1607" s="344" t="str">
        <f t="shared" si="200"/>
        <v>PAREDES / PAINÉIS</v>
      </c>
    </row>
    <row r="1608" spans="1:19" s="414" customFormat="1">
      <c r="A1608" s="410" t="s">
        <v>144</v>
      </c>
      <c r="B1608" s="411"/>
      <c r="C1608" s="410"/>
      <c r="D1608" s="429" t="s">
        <v>2068</v>
      </c>
      <c r="E1608" s="617" t="s">
        <v>76</v>
      </c>
      <c r="F1608" s="413"/>
      <c r="G1608" s="619"/>
      <c r="H1608" s="619"/>
      <c r="I1608" s="437"/>
      <c r="J1608" s="437"/>
      <c r="K1608" s="498"/>
      <c r="L1608" s="474"/>
      <c r="M1608" s="471"/>
      <c r="N1608" s="419"/>
      <c r="O1608" s="541"/>
      <c r="P1608" s="419"/>
      <c r="Q1608" s="419"/>
      <c r="S1608" s="414" t="str">
        <f t="shared" si="200"/>
        <v>ALVENARIA DE BLOCOS DE CONCRETO</v>
      </c>
    </row>
    <row r="1609" spans="1:19" s="414" customFormat="1">
      <c r="A1609" s="410" t="s">
        <v>143</v>
      </c>
      <c r="B1609" s="411"/>
      <c r="C1609" s="410"/>
      <c r="D1609" s="429" t="s">
        <v>2069</v>
      </c>
      <c r="E1609" s="617" t="s">
        <v>76</v>
      </c>
      <c r="F1609" s="413"/>
      <c r="G1609" s="619"/>
      <c r="H1609" s="619"/>
      <c r="I1609" s="437"/>
      <c r="J1609" s="437"/>
      <c r="K1609" s="498"/>
      <c r="L1609" s="474"/>
      <c r="M1609" s="471"/>
      <c r="N1609" s="419"/>
      <c r="O1609" s="541"/>
      <c r="P1609" s="419"/>
      <c r="Q1609" s="419"/>
      <c r="S1609" s="414" t="str">
        <f t="shared" si="200"/>
        <v>ALVENARIA DE BLOCO DE CONCRETO</v>
      </c>
    </row>
    <row r="1610" spans="1:19" s="344" customFormat="1" ht="38.25">
      <c r="A1610" s="49" t="s">
        <v>343</v>
      </c>
      <c r="B1610" s="49">
        <f>'[3]Plan Tron'!B76</f>
        <v>87451</v>
      </c>
      <c r="C1610" s="49" t="str">
        <f>'[3]Plan Tron'!C76</f>
        <v>SINAPI</v>
      </c>
      <c r="D1610" s="614" t="str">
        <f>'[3]Plan Tron'!D76</f>
        <v>ALVENARIA DE VEDAÇÃO DE BLOCOS VAZADOS DE CONCRETO DE 19X19X39CM (ESPESSURA 19CM) DE PAREDES COM ÁREA LÍQUIDA MENOR QUE 6M² SEM VÃOS E ARGAMASSA DE ASSENTAMENTO COM PREPARO EM BETONEIRA. AF_06/2014</v>
      </c>
      <c r="E1610" s="49" t="str">
        <f>'[3]Plan Tron'!E76</f>
        <v>M²</v>
      </c>
      <c r="F1610" s="10">
        <v>41.91</v>
      </c>
      <c r="G1610" s="9">
        <v>47.49</v>
      </c>
      <c r="H1610" s="9">
        <f>'[3]Plan Tron'!F76</f>
        <v>70.959999999999994</v>
      </c>
      <c r="I1610" s="172">
        <v>26.44</v>
      </c>
      <c r="J1610" s="172">
        <f>ROUND(H1610*(I1610/100+1),2)</f>
        <v>89.72</v>
      </c>
      <c r="K1610" s="383">
        <v>0</v>
      </c>
      <c r="L1610" s="474">
        <f>F1610-K1610</f>
        <v>41.91</v>
      </c>
      <c r="M1610" s="471">
        <f t="shared" si="195"/>
        <v>3760.17</v>
      </c>
      <c r="N1610" s="405"/>
      <c r="O1610" s="541"/>
      <c r="P1610" s="405"/>
      <c r="Q1610" s="405"/>
      <c r="S1610" s="344" t="str">
        <f t="shared" si="200"/>
        <v>ALVENARIA DE VEDAÇÃO DE BLOCOS VAZADOS DE CONCRETO DE 19X19X39CM (ESPESSURA 19CM) DE PAREDES COM ÁREA LÍQUIDA MENOR QUE 6M² SEM VÃOS E ARGAMASSA DE ASSENTAMENTO COM PREPARO EM BETONEIRA. AF_06/2014</v>
      </c>
    </row>
    <row r="1611" spans="1:19" s="344" customFormat="1">
      <c r="A1611" s="49" t="s">
        <v>934</v>
      </c>
      <c r="B1611" s="49">
        <f>'[3]Plan Tron'!B157</f>
        <v>141123</v>
      </c>
      <c r="C1611" s="49" t="str">
        <f>'[3]Plan Tron'!C157</f>
        <v>CPOS</v>
      </c>
      <c r="D1611" s="612" t="str">
        <f>UPPER('[3]Plan Tron'!D157)</f>
        <v>ALVENARIA DE BLOCO DE CONCRETO ESTRUTURAL, USO REVESTIDO, DE 19 CM</v>
      </c>
      <c r="E1611" s="49" t="str">
        <f>'[3]Plan Tron'!E157</f>
        <v>M²</v>
      </c>
      <c r="F1611" s="21">
        <v>78.760000000000005</v>
      </c>
      <c r="G1611" s="27">
        <v>65</v>
      </c>
      <c r="H1611" s="27">
        <f>'[3]Plan Tron'!F157</f>
        <v>63.81</v>
      </c>
      <c r="I1611" s="172">
        <v>26.44</v>
      </c>
      <c r="J1611" s="172">
        <f t="shared" ref="J1611:J1613" si="201">ROUND(H1611*(I1611/100+1),2)</f>
        <v>80.680000000000007</v>
      </c>
      <c r="K1611" s="383">
        <v>0</v>
      </c>
      <c r="L1611" s="474">
        <f>F1611-K1611</f>
        <v>78.760000000000005</v>
      </c>
      <c r="M1611" s="471">
        <f t="shared" si="195"/>
        <v>6354.36</v>
      </c>
      <c r="N1611" s="405"/>
      <c r="O1611" s="541"/>
      <c r="P1611" s="405"/>
      <c r="Q1611" s="405"/>
      <c r="S1611" s="344" t="str">
        <f t="shared" si="200"/>
        <v>ALVENARIA DE BLOCO DE CONCRETO ESTRUTURAL, USO REVESTIDO, DE 19 CM</v>
      </c>
    </row>
    <row r="1612" spans="1:19" s="414" customFormat="1">
      <c r="A1612" s="410" t="s">
        <v>933</v>
      </c>
      <c r="B1612" s="411"/>
      <c r="C1612" s="410"/>
      <c r="D1612" s="429" t="s">
        <v>2218</v>
      </c>
      <c r="E1612" s="617" t="s">
        <v>76</v>
      </c>
      <c r="F1612" s="422"/>
      <c r="G1612" s="619"/>
      <c r="H1612" s="619"/>
      <c r="I1612" s="437"/>
      <c r="J1612" s="172"/>
      <c r="K1612" s="498"/>
      <c r="L1612" s="474"/>
      <c r="M1612" s="471"/>
      <c r="N1612" s="419"/>
      <c r="O1612" s="541"/>
      <c r="P1612" s="419"/>
      <c r="Q1612" s="419"/>
      <c r="S1612" s="414" t="str">
        <f t="shared" si="200"/>
        <v>ALVENARIA DE BLOCOS DE VIDRO</v>
      </c>
    </row>
    <row r="1613" spans="1:19" s="344" customFormat="1">
      <c r="A1613" s="49" t="s">
        <v>1672</v>
      </c>
      <c r="B1613" s="49">
        <f>'[3]Plan Tron'!B158</f>
        <v>142504</v>
      </c>
      <c r="C1613" s="49" t="str">
        <f>'[3]Plan Tron'!C158</f>
        <v>CPOS</v>
      </c>
      <c r="D1613" s="612" t="str">
        <f>UPPER('[3]Plan Tron'!D158)</f>
        <v xml:space="preserve">ALVENARIA EM BLOCO DE VIDRO COM ARMAÇÃO </v>
      </c>
      <c r="E1613" s="49" t="str">
        <f>'[3]Plan Tron'!E158</f>
        <v>M²</v>
      </c>
      <c r="F1613" s="21">
        <v>10.87</v>
      </c>
      <c r="G1613" s="27">
        <v>351.84</v>
      </c>
      <c r="H1613" s="27">
        <f>'[3]Plan Tron'!F158</f>
        <v>506.45</v>
      </c>
      <c r="I1613" s="172">
        <v>26.44</v>
      </c>
      <c r="J1613" s="172">
        <f t="shared" si="201"/>
        <v>640.36</v>
      </c>
      <c r="K1613" s="383">
        <v>0</v>
      </c>
      <c r="L1613" s="474">
        <f>F1613-K1613</f>
        <v>10.87</v>
      </c>
      <c r="M1613" s="471">
        <f t="shared" si="195"/>
        <v>6960.71</v>
      </c>
      <c r="N1613" s="405"/>
      <c r="O1613" s="541"/>
      <c r="P1613" s="405"/>
      <c r="Q1613" s="405"/>
      <c r="S1613" s="344" t="str">
        <f t="shared" si="200"/>
        <v xml:space="preserve">ALVENARIA EM BLOCO DE VIDRO COM ARMAÇÃO </v>
      </c>
    </row>
    <row r="1614" spans="1:19" s="414" customFormat="1">
      <c r="A1614" s="410" t="s">
        <v>1671</v>
      </c>
      <c r="B1614" s="411"/>
      <c r="C1614" s="431"/>
      <c r="D1614" s="429" t="s">
        <v>2283</v>
      </c>
      <c r="E1614" s="435"/>
      <c r="F1614" s="422"/>
      <c r="G1614" s="427"/>
      <c r="H1614" s="619"/>
      <c r="I1614" s="437"/>
      <c r="J1614" s="437"/>
      <c r="K1614" s="498"/>
      <c r="L1614" s="474"/>
      <c r="M1614" s="471"/>
      <c r="N1614" s="419"/>
      <c r="O1614" s="541"/>
      <c r="P1614" s="419"/>
      <c r="Q1614" s="419"/>
      <c r="S1614" s="414" t="str">
        <f t="shared" si="200"/>
        <v>ALVENARIA DE 1 VEZ DE TIJOLO CERAMICO FURADO</v>
      </c>
    </row>
    <row r="1615" spans="1:19" s="344" customFormat="1" ht="25.5">
      <c r="A1615" s="49" t="s">
        <v>1670</v>
      </c>
      <c r="B1615" s="11" t="s">
        <v>1669</v>
      </c>
      <c r="C1615" s="49" t="s">
        <v>2015</v>
      </c>
      <c r="D1615" s="130" t="s">
        <v>2284</v>
      </c>
      <c r="E1615" s="7" t="s">
        <v>2332</v>
      </c>
      <c r="F1615" s="21">
        <v>19.829999999999998</v>
      </c>
      <c r="G1615" s="27">
        <v>74.58</v>
      </c>
      <c r="H1615" s="9">
        <f t="shared" ref="H1615" si="202">G1615*$P$7</f>
        <v>86.162273999999996</v>
      </c>
      <c r="I1615" s="172">
        <v>26.44</v>
      </c>
      <c r="J1615" s="172">
        <f>ROUND(H1615*(I1615/100+1),2)</f>
        <v>108.94</v>
      </c>
      <c r="K1615" s="383">
        <v>0</v>
      </c>
      <c r="L1615" s="474">
        <f>F1615-K1615</f>
        <v>19.829999999999998</v>
      </c>
      <c r="M1615" s="471">
        <f t="shared" si="195"/>
        <v>2160.2800000000002</v>
      </c>
      <c r="N1615" s="405"/>
      <c r="O1615" s="541"/>
      <c r="P1615" s="405"/>
      <c r="Q1615" s="405"/>
      <c r="S1615" s="344" t="str">
        <f t="shared" si="200"/>
        <v>ALVENARIA EM TIJOLO CERAMICO FURADO 10X20X20CM, 1 VEZ, ASSENTADO EM ARGAMASSA TRACO 1:2:8 (CIMENTO, CAL E AREIA), JUNTAS 10MM.</v>
      </c>
    </row>
    <row r="1616" spans="1:19" s="344" customFormat="1">
      <c r="A1616" s="49"/>
      <c r="B1616" s="17"/>
      <c r="C1616" s="49"/>
      <c r="D1616" s="17"/>
      <c r="E1616" s="7"/>
      <c r="F1616" s="10"/>
      <c r="G1616" s="312"/>
      <c r="H1616" s="9"/>
      <c r="I1616" s="172"/>
      <c r="J1616" s="172"/>
      <c r="K1616" s="17"/>
      <c r="L1616" s="474"/>
      <c r="M1616" s="471"/>
      <c r="N1616" s="405"/>
      <c r="O1616" s="541"/>
      <c r="P1616" s="405"/>
      <c r="Q1616" s="405"/>
    </row>
    <row r="1617" spans="1:19" s="344" customFormat="1">
      <c r="A1617" s="49"/>
      <c r="B1617" s="17"/>
      <c r="C1617" s="49"/>
      <c r="D1617" s="53"/>
      <c r="E1617" s="7"/>
      <c r="F1617" s="10"/>
      <c r="G1617" s="312"/>
      <c r="H1617" s="9"/>
      <c r="I1617" s="172"/>
      <c r="J1617" s="172"/>
      <c r="K1617" s="383"/>
      <c r="L1617" s="474"/>
      <c r="M1617" s="471"/>
      <c r="N1617" s="405"/>
      <c r="O1617" s="541"/>
      <c r="P1617" s="405"/>
      <c r="Q1617" s="405"/>
    </row>
    <row r="1618" spans="1:19" s="344" customFormat="1">
      <c r="A1618" s="45">
        <v>4</v>
      </c>
      <c r="B1618" s="17"/>
      <c r="C1618" s="45"/>
      <c r="D1618" s="53" t="s">
        <v>2125</v>
      </c>
      <c r="E1618" s="7" t="s">
        <v>76</v>
      </c>
      <c r="F1618" s="10"/>
      <c r="G1618" s="27"/>
      <c r="H1618" s="27"/>
      <c r="I1618" s="172"/>
      <c r="J1618" s="172"/>
      <c r="K1618" s="383"/>
      <c r="L1618" s="474"/>
      <c r="M1618" s="471"/>
      <c r="N1618" s="405"/>
      <c r="O1618" s="541"/>
      <c r="P1618" s="405"/>
      <c r="Q1618" s="405"/>
      <c r="S1618" s="344" t="str">
        <f>UPPER(D1618)</f>
        <v>COBERTURA</v>
      </c>
    </row>
    <row r="1619" spans="1:19" s="414" customFormat="1">
      <c r="A1619" s="410" t="s">
        <v>139</v>
      </c>
      <c r="B1619" s="411"/>
      <c r="C1619" s="410"/>
      <c r="D1619" s="429" t="s">
        <v>2126</v>
      </c>
      <c r="E1619" s="617" t="s">
        <v>76</v>
      </c>
      <c r="F1619" s="422"/>
      <c r="G1619" s="619"/>
      <c r="H1619" s="619"/>
      <c r="I1619" s="437"/>
      <c r="J1619" s="437"/>
      <c r="K1619" s="498"/>
      <c r="L1619" s="474"/>
      <c r="M1619" s="471"/>
      <c r="N1619" s="419"/>
      <c r="O1619" s="541"/>
      <c r="P1619" s="419"/>
      <c r="Q1619" s="419"/>
      <c r="S1619" s="414" t="str">
        <f>UPPER(D1619)</f>
        <v>TELHAMENTO COM TELHA DE FIBROCIMENTO</v>
      </c>
    </row>
    <row r="1620" spans="1:19" s="344" customFormat="1" ht="25.5">
      <c r="A1620" s="49" t="s">
        <v>138</v>
      </c>
      <c r="B1620" s="49">
        <f>'[3]Plan Tron'!B85</f>
        <v>94218</v>
      </c>
      <c r="C1620" s="49" t="str">
        <f>'[3]Plan Tron'!C85</f>
        <v>SINAPI</v>
      </c>
      <c r="D1620" s="614" t="str">
        <f>'[3]Plan Tron'!D85</f>
        <v xml:space="preserve"> TELHAMENTO COM TELHA ESTRUTURAL DE FIBROCIMENTO E= 6 MM, COM ATÉ 2 ÁGUAS, INCLUSO IÇAMENTO. AF_06/2016</v>
      </c>
      <c r="E1620" s="49" t="str">
        <f>'[3]Plan Tron'!E85</f>
        <v>M²</v>
      </c>
      <c r="F1620" s="21">
        <v>68.06</v>
      </c>
      <c r="G1620" s="27">
        <v>73.97</v>
      </c>
      <c r="H1620" s="27">
        <f>'[3]Plan Tron'!F85</f>
        <v>84.16</v>
      </c>
      <c r="I1620" s="172">
        <v>26.44</v>
      </c>
      <c r="J1620" s="172">
        <f>ROUND(H1620*(I1620/100+1),2)</f>
        <v>106.41</v>
      </c>
      <c r="K1620" s="383">
        <v>0</v>
      </c>
      <c r="L1620" s="474">
        <f>F1620-K1620</f>
        <v>68.06</v>
      </c>
      <c r="M1620" s="471">
        <f t="shared" si="195"/>
        <v>7242.26</v>
      </c>
      <c r="N1620" s="405"/>
      <c r="O1620" s="541"/>
      <c r="P1620" s="405"/>
      <c r="Q1620" s="405"/>
      <c r="S1620" s="344" t="str">
        <f>UPPER(D1620)</f>
        <v xml:space="preserve"> TELHAMENTO COM TELHA ESTRUTURAL DE FIBROCIMENTO E= 6 MM, COM ATÉ 2 ÁGUAS, INCLUSO IÇAMENTO. AF_06/2016</v>
      </c>
    </row>
    <row r="1621" spans="1:19" s="414" customFormat="1">
      <c r="A1621" s="410" t="s">
        <v>411</v>
      </c>
      <c r="B1621" s="411"/>
      <c r="C1621" s="410"/>
      <c r="D1621" s="429" t="s">
        <v>2285</v>
      </c>
      <c r="E1621" s="617" t="s">
        <v>76</v>
      </c>
      <c r="F1621" s="422"/>
      <c r="G1621" s="619"/>
      <c r="H1621" s="619"/>
      <c r="I1621" s="437"/>
      <c r="J1621" s="437"/>
      <c r="K1621" s="498"/>
      <c r="L1621" s="474"/>
      <c r="M1621" s="471"/>
      <c r="N1621" s="419"/>
      <c r="O1621" s="541"/>
      <c r="P1621" s="419"/>
      <c r="Q1621" s="419"/>
      <c r="S1621" s="414" t="str">
        <f>UPPER(D1621)</f>
        <v>ESTRUTURA METÁLICA</v>
      </c>
    </row>
    <row r="1622" spans="1:19" s="344" customFormat="1" ht="38.25">
      <c r="A1622" s="49" t="s">
        <v>931</v>
      </c>
      <c r="B1622" s="49">
        <f>'[3]Plan Tron'!B167</f>
        <v>72110</v>
      </c>
      <c r="C1622" s="49" t="str">
        <f>'[3]Plan Tron'!C167</f>
        <v>SINAPI</v>
      </c>
      <c r="D1622" s="614" t="str">
        <f>'[3]Plan Tron'!D167</f>
        <v>ESTRUTURA METALICA EM TESOURAS OU TRELICAS, VAO LIVRE DE 12M, FORNECIMENTO E MONTAGEM, NAO SENDO CONSIDERADOS OS FECHAMENTOS METALICOS, AS COLUNAS, OS SERVICOS GERAIS EM ALVENARIA E CONCRETO, AS TELHAS DE COBERTURA E A PINTURA DE ACABAMENTO</v>
      </c>
      <c r="E1622" s="49" t="str">
        <f>'[3]Plan Tron'!E167</f>
        <v>M²</v>
      </c>
      <c r="F1622" s="21">
        <v>45.6</v>
      </c>
      <c r="G1622" s="27">
        <v>55.14</v>
      </c>
      <c r="H1622" s="27">
        <f>'[3]Plan Tron'!F167</f>
        <v>61.86</v>
      </c>
      <c r="I1622" s="172">
        <v>26.44</v>
      </c>
      <c r="J1622" s="172">
        <f>ROUND(H1622*(I1622/100+1),2)</f>
        <v>78.22</v>
      </c>
      <c r="K1622" s="383">
        <v>0</v>
      </c>
      <c r="L1622" s="474">
        <f>F1622-K1622</f>
        <v>45.6</v>
      </c>
      <c r="M1622" s="471">
        <f t="shared" si="195"/>
        <v>3566.83</v>
      </c>
      <c r="N1622" s="405"/>
      <c r="O1622" s="541"/>
      <c r="P1622" s="405"/>
      <c r="Q1622" s="405"/>
      <c r="S1622" s="344" t="str">
        <f>UPPER(D1622)</f>
        <v>ESTRUTURA METALICA EM TESOURAS OU TRELICAS, VAO LIVRE DE 12M, FORNECIMENTO E MONTAGEM, NAO SENDO CONSIDERADOS OS FECHAMENTOS METALICOS, AS COLUNAS, OS SERVICOS GERAIS EM ALVENARIA E CONCRETO, AS TELHAS DE COBERTURA E A PINTURA DE ACABAMENTO</v>
      </c>
    </row>
    <row r="1623" spans="1:19" s="344" customFormat="1">
      <c r="A1623" s="49"/>
      <c r="B1623" s="17"/>
      <c r="C1623" s="49"/>
      <c r="D1623" s="17"/>
      <c r="E1623" s="7"/>
      <c r="F1623" s="10"/>
      <c r="G1623" s="9"/>
      <c r="H1623" s="9"/>
      <c r="I1623" s="172"/>
      <c r="J1623" s="172"/>
      <c r="K1623" s="17"/>
      <c r="L1623" s="474"/>
      <c r="M1623" s="471"/>
      <c r="N1623" s="405"/>
      <c r="O1623" s="541"/>
      <c r="P1623" s="405"/>
      <c r="Q1623" s="405"/>
    </row>
    <row r="1624" spans="1:19" s="344" customFormat="1">
      <c r="A1624" s="49"/>
      <c r="B1624" s="17"/>
      <c r="C1624" s="49"/>
      <c r="D1624" s="53" t="s">
        <v>76</v>
      </c>
      <c r="E1624" s="7" t="s">
        <v>76</v>
      </c>
      <c r="F1624" s="10"/>
      <c r="G1624" s="27"/>
      <c r="H1624" s="27"/>
      <c r="I1624" s="172"/>
      <c r="J1624" s="172"/>
      <c r="K1624" s="383"/>
      <c r="L1624" s="474"/>
      <c r="M1624" s="471"/>
      <c r="N1624" s="405"/>
      <c r="O1624" s="541"/>
      <c r="P1624" s="405"/>
      <c r="Q1624" s="405"/>
      <c r="S1624" s="344" t="str">
        <f>UPPER(D1624)</f>
        <v/>
      </c>
    </row>
    <row r="1625" spans="1:19" s="344" customFormat="1">
      <c r="A1625" s="45">
        <v>5</v>
      </c>
      <c r="B1625" s="17"/>
      <c r="C1625" s="45"/>
      <c r="D1625" s="53" t="s">
        <v>2070</v>
      </c>
      <c r="E1625" s="7" t="s">
        <v>76</v>
      </c>
      <c r="F1625" s="10"/>
      <c r="G1625" s="27"/>
      <c r="H1625" s="27"/>
      <c r="I1625" s="172"/>
      <c r="J1625" s="172"/>
      <c r="K1625" s="383"/>
      <c r="L1625" s="474"/>
      <c r="M1625" s="471"/>
      <c r="N1625" s="405"/>
      <c r="O1625" s="541"/>
      <c r="P1625" s="405"/>
      <c r="Q1625" s="405"/>
      <c r="S1625" s="344" t="str">
        <f>UPPER(D1625)</f>
        <v>ESQUADRIAS / FERRAGENS / VIDROS</v>
      </c>
    </row>
    <row r="1626" spans="1:19" s="414" customFormat="1">
      <c r="A1626" s="410" t="s">
        <v>136</v>
      </c>
      <c r="B1626" s="411"/>
      <c r="C1626" s="410"/>
      <c r="D1626" s="429" t="s">
        <v>2286</v>
      </c>
      <c r="E1626" s="617" t="s">
        <v>76</v>
      </c>
      <c r="F1626" s="422"/>
      <c r="G1626" s="619"/>
      <c r="H1626" s="619"/>
      <c r="I1626" s="437"/>
      <c r="J1626" s="437"/>
      <c r="K1626" s="498"/>
      <c r="L1626" s="474"/>
      <c r="M1626" s="471"/>
      <c r="N1626" s="419"/>
      <c r="O1626" s="541"/>
      <c r="P1626" s="419"/>
      <c r="Q1626" s="419"/>
      <c r="S1626" s="414" t="str">
        <f>UPPER(D1626)</f>
        <v>PORTA E / OU CHAPA DE FERRO</v>
      </c>
    </row>
    <row r="1627" spans="1:19" s="344" customFormat="1">
      <c r="A1627" s="49" t="s">
        <v>135</v>
      </c>
      <c r="B1627" s="49">
        <f>'[3]Plan Tron'!B168</f>
        <v>240206</v>
      </c>
      <c r="C1627" s="49" t="str">
        <f>'[3]Plan Tron'!C168</f>
        <v>CPOS</v>
      </c>
      <c r="D1627" s="612" t="str">
        <f>UPPER('[3]Plan Tron'!D168)</f>
        <v xml:space="preserve">PORTA/PORTÃO DE ABRIR EM CHAPA, SOB MEDIDA </v>
      </c>
      <c r="E1627" s="49" t="str">
        <f>'[3]Plan Tron'!E168</f>
        <v>M²</v>
      </c>
      <c r="F1627" s="21">
        <v>28.86</v>
      </c>
      <c r="G1627" s="27">
        <v>288.04000000000002</v>
      </c>
      <c r="H1627" s="27">
        <f>'[3]Plan Tron'!F168</f>
        <v>580.57000000000005</v>
      </c>
      <c r="I1627" s="172">
        <v>26.44</v>
      </c>
      <c r="J1627" s="172">
        <f>ROUND(H1627*(I1627/100+1),2)</f>
        <v>734.07</v>
      </c>
      <c r="K1627" s="383">
        <v>0</v>
      </c>
      <c r="L1627" s="474">
        <f>F1627-K1627</f>
        <v>28.86</v>
      </c>
      <c r="M1627" s="471">
        <f t="shared" si="195"/>
        <v>21185.26</v>
      </c>
      <c r="N1627" s="405"/>
      <c r="O1627" s="541"/>
      <c r="P1627" s="405"/>
      <c r="Q1627" s="405"/>
      <c r="S1627" s="344" t="str">
        <f>UPPER(D1627)</f>
        <v xml:space="preserve">PORTA/PORTÃO DE ABRIR EM CHAPA, SOB MEDIDA </v>
      </c>
    </row>
    <row r="1628" spans="1:19" s="344" customFormat="1">
      <c r="A1628" s="49"/>
      <c r="B1628" s="17"/>
      <c r="C1628" s="49"/>
      <c r="D1628" s="17"/>
      <c r="E1628" s="7"/>
      <c r="F1628" s="10"/>
      <c r="G1628" s="9"/>
      <c r="H1628" s="9"/>
      <c r="I1628" s="172"/>
      <c r="J1628" s="172"/>
      <c r="K1628" s="17"/>
      <c r="L1628" s="474"/>
      <c r="M1628" s="471"/>
      <c r="N1628" s="405"/>
      <c r="O1628" s="541"/>
      <c r="P1628" s="405"/>
      <c r="Q1628" s="405"/>
    </row>
    <row r="1629" spans="1:19" s="344" customFormat="1">
      <c r="A1629" s="49"/>
      <c r="B1629" s="17"/>
      <c r="C1629" s="49"/>
      <c r="D1629" s="53" t="s">
        <v>76</v>
      </c>
      <c r="E1629" s="7" t="s">
        <v>76</v>
      </c>
      <c r="F1629" s="10"/>
      <c r="G1629" s="27"/>
      <c r="H1629" s="27"/>
      <c r="I1629" s="172"/>
      <c r="J1629" s="172"/>
      <c r="K1629" s="383"/>
      <c r="L1629" s="474"/>
      <c r="M1629" s="471"/>
      <c r="N1629" s="405"/>
      <c r="O1629" s="541"/>
      <c r="P1629" s="405"/>
      <c r="Q1629" s="405"/>
      <c r="S1629" s="344" t="str">
        <f t="shared" ref="S1629:S1634" si="203">UPPER(D1629)</f>
        <v/>
      </c>
    </row>
    <row r="1630" spans="1:19" s="344" customFormat="1">
      <c r="A1630" s="45">
        <v>6</v>
      </c>
      <c r="B1630" s="17"/>
      <c r="C1630" s="45"/>
      <c r="D1630" s="53" t="s">
        <v>2189</v>
      </c>
      <c r="E1630" s="7" t="s">
        <v>76</v>
      </c>
      <c r="F1630" s="10"/>
      <c r="G1630" s="27"/>
      <c r="H1630" s="27"/>
      <c r="I1630" s="172"/>
      <c r="J1630" s="172"/>
      <c r="K1630" s="383"/>
      <c r="L1630" s="474"/>
      <c r="M1630" s="471"/>
      <c r="N1630" s="405"/>
      <c r="O1630" s="541"/>
      <c r="P1630" s="405"/>
      <c r="Q1630" s="405"/>
      <c r="S1630" s="344" t="str">
        <f t="shared" si="203"/>
        <v>REVESTIMENTO E TRATAMENTO DE SUPERFÍCIES</v>
      </c>
    </row>
    <row r="1631" spans="1:19" s="414" customFormat="1">
      <c r="A1631" s="410" t="s">
        <v>120</v>
      </c>
      <c r="B1631" s="411"/>
      <c r="C1631" s="410"/>
      <c r="D1631" s="429" t="s">
        <v>2190</v>
      </c>
      <c r="E1631" s="617" t="s">
        <v>76</v>
      </c>
      <c r="F1631" s="422"/>
      <c r="G1631" s="619"/>
      <c r="H1631" s="619"/>
      <c r="I1631" s="437"/>
      <c r="J1631" s="437"/>
      <c r="K1631" s="498"/>
      <c r="L1631" s="474"/>
      <c r="M1631" s="471"/>
      <c r="N1631" s="419"/>
      <c r="O1631" s="541"/>
      <c r="P1631" s="419"/>
      <c r="Q1631" s="419"/>
      <c r="S1631" s="414" t="str">
        <f t="shared" si="203"/>
        <v>EMBOÇO</v>
      </c>
    </row>
    <row r="1632" spans="1:19" s="344" customFormat="1" ht="38.25">
      <c r="A1632" s="49" t="s">
        <v>119</v>
      </c>
      <c r="B1632" s="49">
        <f>'[3]Plan Tron'!B121</f>
        <v>87527</v>
      </c>
      <c r="C1632" s="49" t="str">
        <f>'[3]Plan Tron'!C121</f>
        <v>SINAPI</v>
      </c>
      <c r="D1632" s="614" t="str">
        <f>'[3]Plan Tron'!D121</f>
        <v>EMBOÇO, PARA RECEBIMENTO DE CERÂMICA, EM ARGAMASSA TRAÇO 1:2:8, PREPARO MECÂNICO COM BETONEIRA 400L, APLICADO MANUALMENTE EM FACES INTERNAS DE PAREDES, PARA AMBIENTE COM ÁREA MENOR QUE 5M2, ESPESSURA DE 20MM, COM EXECUÇÃO DE TALISCAS. AF_06/2014</v>
      </c>
      <c r="E1632" s="49" t="str">
        <f>'[3]Plan Tron'!E121</f>
        <v>M²</v>
      </c>
      <c r="F1632" s="21">
        <v>161.04</v>
      </c>
      <c r="G1632" s="27">
        <v>18.93</v>
      </c>
      <c r="H1632" s="27">
        <f>'[3]Plan Tron'!F121</f>
        <v>27.13</v>
      </c>
      <c r="I1632" s="172">
        <v>26.44</v>
      </c>
      <c r="J1632" s="172">
        <f>ROUND(H1632*(I1632/100+1),2)</f>
        <v>34.299999999999997</v>
      </c>
      <c r="K1632" s="383">
        <v>0</v>
      </c>
      <c r="L1632" s="474">
        <f>F1632-K1632</f>
        <v>161.04</v>
      </c>
      <c r="M1632" s="471">
        <f t="shared" si="195"/>
        <v>5523.67</v>
      </c>
      <c r="N1632" s="405"/>
      <c r="O1632" s="541"/>
      <c r="P1632" s="405"/>
      <c r="Q1632" s="405"/>
      <c r="S1632" s="344" t="str">
        <f t="shared" si="203"/>
        <v>EMBOÇO, PARA RECEBIMENTO DE CERÂMICA, EM ARGAMASSA TRAÇO 1:2:8, PREPARO MECÂNICO COM BETONEIRA 400L, APLICADO MANUALMENTE EM FACES INTERNAS DE PAREDES, PARA AMBIENTE COM ÁREA MENOR QUE 5M2, ESPESSURA DE 20MM, COM EXECUÇÃO DE TALISCAS. AF_06/2014</v>
      </c>
    </row>
    <row r="1633" spans="1:19" s="414" customFormat="1">
      <c r="A1633" s="410" t="s">
        <v>116</v>
      </c>
      <c r="B1633" s="411"/>
      <c r="C1633" s="410"/>
      <c r="D1633" s="429" t="s">
        <v>2191</v>
      </c>
      <c r="E1633" s="617" t="s">
        <v>76</v>
      </c>
      <c r="F1633" s="422"/>
      <c r="G1633" s="619"/>
      <c r="H1633" s="619"/>
      <c r="I1633" s="437"/>
      <c r="J1633" s="437"/>
      <c r="K1633" s="498"/>
      <c r="L1633" s="474"/>
      <c r="M1633" s="471"/>
      <c r="N1633" s="419"/>
      <c r="O1633" s="541"/>
      <c r="P1633" s="419"/>
      <c r="Q1633" s="419"/>
      <c r="S1633" s="414" t="str">
        <f t="shared" si="203"/>
        <v>REBOCO</v>
      </c>
    </row>
    <row r="1634" spans="1:19" s="344" customFormat="1" ht="38.25">
      <c r="A1634" s="49" t="s">
        <v>115</v>
      </c>
      <c r="B1634" s="49">
        <f>'[3]Plan Tron'!B169</f>
        <v>90408</v>
      </c>
      <c r="C1634" s="49" t="str">
        <f>'[3]Plan Tron'!C169</f>
        <v>SINAPI</v>
      </c>
      <c r="D1634" s="614" t="str">
        <f>'[3]Plan Tron'!D169</f>
        <v>MASSA ÚNICA, PARA RECEBIMENTO DE PINTURA, EM ARGAMASSA TRAÇO 1:2:8, PREPARO MECÂNICO COM BETONEIRA 400L, APLICADA MANUALMENTE EM TETO, ESPESSURA DE 10MM, COM EXECUÇÃO DE TALISCAS. AF_03/2015</v>
      </c>
      <c r="E1634" s="49" t="str">
        <f>'[3]Plan Tron'!E169</f>
        <v>M²</v>
      </c>
      <c r="F1634" s="21">
        <v>161.04</v>
      </c>
      <c r="G1634" s="27">
        <v>12.45</v>
      </c>
      <c r="H1634" s="27">
        <f>'[3]Plan Tron'!F169</f>
        <v>23.78</v>
      </c>
      <c r="I1634" s="172">
        <v>26.44</v>
      </c>
      <c r="J1634" s="172">
        <f>ROUND(H1634*(I1634/100+1),2)</f>
        <v>30.07</v>
      </c>
      <c r="K1634" s="383">
        <v>0</v>
      </c>
      <c r="L1634" s="474">
        <f>F1634-K1634</f>
        <v>161.04</v>
      </c>
      <c r="M1634" s="471">
        <f t="shared" si="195"/>
        <v>4842.47</v>
      </c>
      <c r="N1634" s="405"/>
      <c r="O1634" s="541"/>
      <c r="P1634" s="405"/>
      <c r="Q1634" s="405"/>
      <c r="S1634" s="344" t="str">
        <f t="shared" si="203"/>
        <v>MASSA ÚNICA, PARA RECEBIMENTO DE PINTURA, EM ARGAMASSA TRAÇO 1:2:8, PREPARO MECÂNICO COM BETONEIRA 400L, APLICADA MANUALMENTE EM TETO, ESPESSURA DE 10MM, COM EXECUÇÃO DE TALISCAS. AF_03/2015</v>
      </c>
    </row>
    <row r="1635" spans="1:19" s="344" customFormat="1">
      <c r="A1635" s="49"/>
      <c r="B1635" s="17"/>
      <c r="C1635" s="49"/>
      <c r="D1635" s="17"/>
      <c r="E1635" s="7"/>
      <c r="F1635" s="10"/>
      <c r="G1635" s="9"/>
      <c r="H1635" s="9"/>
      <c r="I1635" s="172"/>
      <c r="J1635" s="172"/>
      <c r="K1635" s="17"/>
      <c r="L1635" s="474"/>
      <c r="M1635" s="471"/>
      <c r="N1635" s="405"/>
      <c r="O1635" s="541"/>
      <c r="P1635" s="405"/>
      <c r="Q1635" s="405"/>
    </row>
    <row r="1636" spans="1:19" s="344" customFormat="1">
      <c r="A1636" s="49"/>
      <c r="B1636" s="17"/>
      <c r="C1636" s="49"/>
      <c r="D1636" s="53" t="s">
        <v>76</v>
      </c>
      <c r="E1636" s="7"/>
      <c r="F1636" s="10"/>
      <c r="G1636" s="9"/>
      <c r="H1636" s="9"/>
      <c r="I1636" s="172"/>
      <c r="J1636" s="172"/>
      <c r="K1636" s="383"/>
      <c r="L1636" s="474"/>
      <c r="M1636" s="471"/>
      <c r="N1636" s="405"/>
      <c r="O1636" s="541"/>
      <c r="P1636" s="405"/>
      <c r="Q1636" s="405"/>
      <c r="S1636" s="344" t="str">
        <f t="shared" ref="S1636:S1647" si="204">UPPER(D1636)</f>
        <v/>
      </c>
    </row>
    <row r="1637" spans="1:19" s="344" customFormat="1">
      <c r="A1637" s="45">
        <v>7</v>
      </c>
      <c r="B1637" s="17"/>
      <c r="C1637" s="45"/>
      <c r="D1637" s="53" t="s">
        <v>2073</v>
      </c>
      <c r="E1637" s="7"/>
      <c r="F1637" s="10"/>
      <c r="G1637" s="9"/>
      <c r="H1637" s="9"/>
      <c r="I1637" s="172"/>
      <c r="J1637" s="172"/>
      <c r="K1637" s="383"/>
      <c r="L1637" s="474"/>
      <c r="M1637" s="471"/>
      <c r="N1637" s="405"/>
      <c r="O1637" s="541"/>
      <c r="P1637" s="405"/>
      <c r="Q1637" s="405"/>
      <c r="S1637" s="344" t="str">
        <f t="shared" si="204"/>
        <v>IMPERMEABILIZAÇÕES E PROTEÇÕES DIVERSAS</v>
      </c>
    </row>
    <row r="1638" spans="1:19" s="414" customFormat="1">
      <c r="A1638" s="410" t="s">
        <v>109</v>
      </c>
      <c r="B1638" s="653"/>
      <c r="C1638" s="410"/>
      <c r="D1638" s="429" t="s">
        <v>2287</v>
      </c>
      <c r="E1638" s="617"/>
      <c r="F1638" s="413"/>
      <c r="G1638" s="412"/>
      <c r="H1638" s="412"/>
      <c r="I1638" s="437"/>
      <c r="J1638" s="437"/>
      <c r="K1638" s="498"/>
      <c r="L1638" s="474"/>
      <c r="M1638" s="471"/>
      <c r="N1638" s="419"/>
      <c r="O1638" s="541"/>
      <c r="P1638" s="419"/>
      <c r="Q1638" s="419"/>
      <c r="S1638" s="414" t="str">
        <f t="shared" si="204"/>
        <v>IMPERMEABILIZACAO COM CIMENTO CRISTALIZADO</v>
      </c>
    </row>
    <row r="1639" spans="1:19" s="344" customFormat="1">
      <c r="A1639" s="49" t="s">
        <v>108</v>
      </c>
      <c r="B1639" s="16" t="str">
        <f>'[3]Plan Tron'!B33</f>
        <v>73929/001</v>
      </c>
      <c r="C1639" s="349" t="str">
        <f>'[3]Plan Tron'!C33</f>
        <v>SINAPI</v>
      </c>
      <c r="D1639" s="654" t="str">
        <f>'[3]Plan Tron'!D33</f>
        <v>IMPERMEABILIZACAO DE SUPERFICIE COM CIMENTO ESPECIAL CRISTALIZANTE COM ADESIVO LIQUIDO, UMA DEMAO.</v>
      </c>
      <c r="E1639" s="349" t="str">
        <f>'[3]Plan Tron'!E33</f>
        <v>M²</v>
      </c>
      <c r="F1639" s="10">
        <v>19.36</v>
      </c>
      <c r="G1639" s="9">
        <v>18.329999999999998</v>
      </c>
      <c r="H1639" s="9">
        <f>'[3]Plan Tron'!F33</f>
        <v>30.96</v>
      </c>
      <c r="I1639" s="172">
        <v>26.44</v>
      </c>
      <c r="J1639" s="172">
        <f>ROUND(H1639*(I1639/100+1),2)</f>
        <v>39.15</v>
      </c>
      <c r="K1639" s="383">
        <v>0</v>
      </c>
      <c r="L1639" s="474">
        <f>F1639-K1639</f>
        <v>19.36</v>
      </c>
      <c r="M1639" s="471">
        <f t="shared" ref="M1639:M1659" si="205">ROUND(L1639*J1639,2)</f>
        <v>757.94</v>
      </c>
      <c r="N1639" s="405"/>
      <c r="O1639" s="541"/>
      <c r="P1639" s="405"/>
      <c r="Q1639" s="405"/>
      <c r="S1639" s="344" t="str">
        <f t="shared" si="204"/>
        <v>IMPERMEABILIZACAO DE SUPERFICIE COM CIMENTO ESPECIAL CRISTALIZANTE COM ADESIVO LIQUIDO, UMA DEMAO.</v>
      </c>
    </row>
    <row r="1640" spans="1:19" s="414" customFormat="1" ht="25.5">
      <c r="A1640" s="410" t="s">
        <v>436</v>
      </c>
      <c r="B1640" s="653"/>
      <c r="C1640" s="410"/>
      <c r="D1640" s="429" t="s">
        <v>2288</v>
      </c>
      <c r="E1640" s="617"/>
      <c r="F1640" s="413"/>
      <c r="G1640" s="412"/>
      <c r="H1640" s="412"/>
      <c r="I1640" s="437"/>
      <c r="J1640" s="437"/>
      <c r="K1640" s="498"/>
      <c r="L1640" s="476"/>
      <c r="M1640" s="471"/>
      <c r="N1640" s="419"/>
      <c r="O1640" s="541"/>
      <c r="P1640" s="419"/>
      <c r="Q1640" s="419"/>
      <c r="S1640" s="414" t="str">
        <f t="shared" si="204"/>
        <v>IMPERMEAB. DE FUNDACOES/BALDRAMES/MUROS DE ARRIMO/ALICERCES E REVEST. EM CONTATO C/SOLO - UTILIZ. TINTA BETUMINOSA TIPO NEUTROLIN / DUAS DEMÃOS .</v>
      </c>
    </row>
    <row r="1641" spans="1:19" s="344" customFormat="1">
      <c r="A1641" s="49" t="s">
        <v>1668</v>
      </c>
      <c r="B1641" s="74" t="str">
        <f>'[3]Plan Tron'!B71</f>
        <v>74106/001</v>
      </c>
      <c r="C1641" s="348" t="str">
        <f>'[3]Plan Tron'!C71</f>
        <v>SINAPI</v>
      </c>
      <c r="D1641" s="655" t="str">
        <f>'[3]Plan Tron'!D71</f>
        <v>IMPERMEABILIZACAO DE ESTRUTURAS ENTERRADAS,COM TINTA ASFALTICA, DUAS DEMÃOS.</v>
      </c>
      <c r="E1641" s="348" t="str">
        <f>'[3]Plan Tron'!E71</f>
        <v>M²</v>
      </c>
      <c r="F1641" s="10">
        <v>80.290000000000006</v>
      </c>
      <c r="G1641" s="9">
        <v>6.65</v>
      </c>
      <c r="H1641" s="9">
        <f>'[3]Plan Tron'!F71</f>
        <v>9.2899999999999991</v>
      </c>
      <c r="I1641" s="172">
        <v>26.44</v>
      </c>
      <c r="J1641" s="172">
        <f>ROUND(H1641*(I1641/100+1),2)</f>
        <v>11.75</v>
      </c>
      <c r="K1641" s="383">
        <v>0</v>
      </c>
      <c r="L1641" s="474">
        <f>F1641-K1641</f>
        <v>80.290000000000006</v>
      </c>
      <c r="M1641" s="471">
        <f t="shared" si="205"/>
        <v>943.41</v>
      </c>
      <c r="N1641" s="405"/>
      <c r="O1641" s="541"/>
      <c r="P1641" s="405"/>
      <c r="Q1641" s="405"/>
      <c r="S1641" s="344" t="str">
        <f t="shared" si="204"/>
        <v>IMPERMEABILIZACAO DE ESTRUTURAS ENTERRADAS,COM TINTA ASFALTICA, DUAS DEMÃOS.</v>
      </c>
    </row>
    <row r="1642" spans="1:19" s="414" customFormat="1">
      <c r="A1642" s="410" t="s">
        <v>106</v>
      </c>
      <c r="B1642" s="656"/>
      <c r="C1642" s="410"/>
      <c r="D1642" s="429" t="s">
        <v>2289</v>
      </c>
      <c r="E1642" s="617"/>
      <c r="F1642" s="413"/>
      <c r="G1642" s="412"/>
      <c r="H1642" s="412"/>
      <c r="I1642" s="437"/>
      <c r="J1642" s="437"/>
      <c r="K1642" s="498"/>
      <c r="L1642" s="474"/>
      <c r="M1642" s="471"/>
      <c r="N1642" s="419"/>
      <c r="O1642" s="541"/>
      <c r="P1642" s="419"/>
      <c r="Q1642" s="419"/>
      <c r="S1642" s="414" t="str">
        <f t="shared" si="204"/>
        <v>IMPERMEABILIZAÇÃO COM MASTIQUE</v>
      </c>
    </row>
    <row r="1643" spans="1:19" s="414" customFormat="1">
      <c r="A1643" s="410" t="s">
        <v>105</v>
      </c>
      <c r="B1643" s="656"/>
      <c r="C1643" s="410"/>
      <c r="D1643" s="429" t="s">
        <v>2290</v>
      </c>
      <c r="E1643" s="617"/>
      <c r="F1643" s="413"/>
      <c r="G1643" s="412"/>
      <c r="H1643" s="412"/>
      <c r="I1643" s="437"/>
      <c r="J1643" s="437"/>
      <c r="K1643" s="498"/>
      <c r="L1643" s="474"/>
      <c r="M1643" s="471"/>
      <c r="N1643" s="419"/>
      <c r="O1643" s="541"/>
      <c r="P1643" s="419"/>
      <c r="Q1643" s="419"/>
      <c r="S1643" s="414" t="str">
        <f t="shared" si="204"/>
        <v>IMPERMEABILIZACAO DE LAJES.</v>
      </c>
    </row>
    <row r="1644" spans="1:19" s="344" customFormat="1">
      <c r="A1644" s="49" t="s">
        <v>427</v>
      </c>
      <c r="B1644" s="16" t="str">
        <f>'[3]Plan Tron'!B170</f>
        <v xml:space="preserve">74190/001 </v>
      </c>
      <c r="C1644" s="349" t="str">
        <f>'[3]Plan Tron'!C170</f>
        <v>SINAPI</v>
      </c>
      <c r="D1644" s="130" t="str">
        <f>'[3]Plan Tron'!D170</f>
        <v>IMPERMEABILIZACAO DE SUPERFICIE COM MASTIQUE BETUMINOSO A FRIO, POR AREA.</v>
      </c>
      <c r="E1644" s="349" t="str">
        <f>'[3]Plan Tron'!E170</f>
        <v>M²</v>
      </c>
      <c r="F1644" s="10">
        <v>0.09</v>
      </c>
      <c r="G1644" s="9">
        <v>98.92</v>
      </c>
      <c r="H1644" s="9">
        <f>'[3]Plan Tron'!F170</f>
        <v>154.01</v>
      </c>
      <c r="I1644" s="172">
        <v>26.44</v>
      </c>
      <c r="J1644" s="172">
        <f>ROUND(H1644*(I1644/100+1),2)</f>
        <v>194.73</v>
      </c>
      <c r="K1644" s="383">
        <v>0</v>
      </c>
      <c r="L1644" s="474">
        <f>F1644-K1644</f>
        <v>0.09</v>
      </c>
      <c r="M1644" s="471">
        <f t="shared" si="205"/>
        <v>17.53</v>
      </c>
      <c r="N1644" s="405"/>
      <c r="O1644" s="541"/>
      <c r="P1644" s="405"/>
      <c r="Q1644" s="405"/>
      <c r="S1644" s="344" t="str">
        <f t="shared" si="204"/>
        <v>IMPERMEABILIZACAO DE SUPERFICIE COM MASTIQUE BETUMINOSO A FRIO, POR AREA.</v>
      </c>
    </row>
    <row r="1645" spans="1:19" s="414" customFormat="1">
      <c r="A1645" s="410" t="s">
        <v>104</v>
      </c>
      <c r="B1645" s="656"/>
      <c r="C1645" s="410"/>
      <c r="D1645" s="429" t="s">
        <v>2291</v>
      </c>
      <c r="E1645" s="617"/>
      <c r="F1645" s="413"/>
      <c r="G1645" s="412"/>
      <c r="H1645" s="412"/>
      <c r="I1645" s="437"/>
      <c r="J1645" s="437"/>
      <c r="K1645" s="498"/>
      <c r="L1645" s="474"/>
      <c r="M1645" s="471"/>
      <c r="N1645" s="419"/>
      <c r="O1645" s="541"/>
      <c r="P1645" s="419"/>
      <c r="Q1645" s="419"/>
      <c r="S1645" s="414" t="str">
        <f t="shared" si="204"/>
        <v>IMPERMEABILIZAÇÕES COM MANTA</v>
      </c>
    </row>
    <row r="1646" spans="1:19" s="414" customFormat="1">
      <c r="A1646" s="410" t="s">
        <v>103</v>
      </c>
      <c r="B1646" s="653"/>
      <c r="C1646" s="410"/>
      <c r="D1646" s="429" t="s">
        <v>2292</v>
      </c>
      <c r="E1646" s="617"/>
      <c r="F1646" s="413"/>
      <c r="G1646" s="412"/>
      <c r="H1646" s="412"/>
      <c r="I1646" s="437"/>
      <c r="J1646" s="437"/>
      <c r="K1646" s="498"/>
      <c r="L1646" s="474"/>
      <c r="M1646" s="471"/>
      <c r="N1646" s="419"/>
      <c r="O1646" s="541"/>
      <c r="P1646" s="419"/>
      <c r="Q1646" s="419"/>
      <c r="S1646" s="414" t="str">
        <f t="shared" si="204"/>
        <v>IMPERMEABILIZACAO DE TERRACOS E LAJES</v>
      </c>
    </row>
    <row r="1647" spans="1:19" s="344" customFormat="1" ht="25.5">
      <c r="A1647" s="49" t="s">
        <v>1667</v>
      </c>
      <c r="B1647" s="16" t="str">
        <f>'[3]Plan Tron'!B171</f>
        <v xml:space="preserve">73753/001 </v>
      </c>
      <c r="C1647" s="49" t="str">
        <f>'[3]Plan Tron'!C171</f>
        <v>SINAPI</v>
      </c>
      <c r="D1647" s="130" t="str">
        <f>'[3]Plan Tron'!D171</f>
        <v>IMPERMEABILIZACAO DE SUPERFICIE COM MANTA ASFALTICA PROTEGIDA COM FILME DE ALUMINIO GOFRADO (DE ESPESSURA 0,8MM), INCLUSA APLICACAO DE EMULSAO ASFALTICA, E=3MM.</v>
      </c>
      <c r="E1647" s="77" t="str">
        <f>'[3]Plan Tron'!E171</f>
        <v>M²</v>
      </c>
      <c r="F1647" s="10">
        <v>106.14</v>
      </c>
      <c r="G1647" s="9">
        <v>58.81</v>
      </c>
      <c r="H1647" s="9">
        <f>'[3]Plan Tron'!F171</f>
        <v>85.69</v>
      </c>
      <c r="I1647" s="172">
        <v>26.44</v>
      </c>
      <c r="J1647" s="172">
        <f>ROUND(H1647*(I1647/100+1),2)</f>
        <v>108.35</v>
      </c>
      <c r="K1647" s="383">
        <v>0</v>
      </c>
      <c r="L1647" s="474">
        <f>F1647-K1647</f>
        <v>106.14</v>
      </c>
      <c r="M1647" s="471">
        <f t="shared" si="205"/>
        <v>11500.27</v>
      </c>
      <c r="N1647" s="405"/>
      <c r="O1647" s="541"/>
      <c r="P1647" s="405"/>
      <c r="Q1647" s="405"/>
      <c r="S1647" s="344" t="str">
        <f t="shared" si="204"/>
        <v>IMPERMEABILIZACAO DE SUPERFICIE COM MANTA ASFALTICA PROTEGIDA COM FILME DE ALUMINIO GOFRADO (DE ESPESSURA 0,8MM), INCLUSA APLICACAO DE EMULSAO ASFALTICA, E=3MM.</v>
      </c>
    </row>
    <row r="1648" spans="1:19" s="344" customFormat="1">
      <c r="A1648" s="49"/>
      <c r="B1648" s="17"/>
      <c r="C1648" s="49"/>
      <c r="D1648" s="17"/>
      <c r="E1648" s="7"/>
      <c r="F1648" s="10"/>
      <c r="G1648" s="27"/>
      <c r="H1648" s="27"/>
      <c r="I1648" s="172"/>
      <c r="J1648" s="172"/>
      <c r="K1648" s="17"/>
      <c r="L1648" s="474"/>
      <c r="M1648" s="471"/>
      <c r="N1648" s="405"/>
      <c r="O1648" s="541"/>
      <c r="P1648" s="405"/>
      <c r="Q1648" s="405"/>
    </row>
    <row r="1649" spans="1:37" s="344" customFormat="1">
      <c r="A1649" s="49"/>
      <c r="B1649" s="17"/>
      <c r="C1649" s="49"/>
      <c r="D1649" s="53" t="s">
        <v>76</v>
      </c>
      <c r="E1649" s="7"/>
      <c r="F1649" s="10"/>
      <c r="G1649" s="27"/>
      <c r="H1649" s="27"/>
      <c r="I1649" s="172"/>
      <c r="J1649" s="172"/>
      <c r="K1649" s="383"/>
      <c r="L1649" s="474"/>
      <c r="M1649" s="471"/>
      <c r="N1649" s="405"/>
      <c r="O1649" s="541"/>
      <c r="P1649" s="405"/>
      <c r="Q1649" s="405"/>
      <c r="S1649" s="344" t="str">
        <f t="shared" ref="S1649:S1655" si="206">UPPER(D1649)</f>
        <v/>
      </c>
    </row>
    <row r="1650" spans="1:37" s="344" customFormat="1">
      <c r="A1650" s="59">
        <v>8</v>
      </c>
      <c r="B1650" s="65"/>
      <c r="C1650" s="59"/>
      <c r="D1650" s="169" t="s">
        <v>2107</v>
      </c>
      <c r="E1650" s="18"/>
      <c r="F1650" s="19"/>
      <c r="G1650" s="36"/>
      <c r="H1650" s="36"/>
      <c r="I1650" s="172"/>
      <c r="J1650" s="172"/>
      <c r="K1650" s="383"/>
      <c r="L1650" s="474"/>
      <c r="M1650" s="471"/>
      <c r="N1650" s="405"/>
      <c r="O1650" s="541"/>
      <c r="P1650" s="405"/>
      <c r="Q1650" s="405"/>
      <c r="S1650" s="344" t="str">
        <f t="shared" si="206"/>
        <v>PINTURAS</v>
      </c>
    </row>
    <row r="1651" spans="1:37" s="414" customFormat="1">
      <c r="A1651" s="650" t="s">
        <v>90</v>
      </c>
      <c r="B1651" s="425"/>
      <c r="C1651" s="410"/>
      <c r="D1651" s="426" t="s">
        <v>2108</v>
      </c>
      <c r="E1651" s="421"/>
      <c r="F1651" s="623"/>
      <c r="G1651" s="623"/>
      <c r="H1651" s="623"/>
      <c r="I1651" s="437"/>
      <c r="J1651" s="437"/>
      <c r="K1651" s="498"/>
      <c r="L1651" s="474"/>
      <c r="M1651" s="471"/>
      <c r="N1651" s="419"/>
      <c r="O1651" s="541"/>
      <c r="P1651" s="419"/>
      <c r="Q1651" s="419"/>
      <c r="S1651" s="414" t="str">
        <f t="shared" si="206"/>
        <v>PINTURA DE PAREDE</v>
      </c>
    </row>
    <row r="1652" spans="1:37" s="414" customFormat="1">
      <c r="A1652" s="650" t="s">
        <v>89</v>
      </c>
      <c r="B1652" s="611"/>
      <c r="C1652" s="410"/>
      <c r="D1652" s="426" t="s">
        <v>2199</v>
      </c>
      <c r="E1652" s="421"/>
      <c r="F1652" s="623"/>
      <c r="G1652" s="623"/>
      <c r="H1652" s="623"/>
      <c r="I1652" s="437"/>
      <c r="J1652" s="437"/>
      <c r="K1652" s="498"/>
      <c r="L1652" s="474"/>
      <c r="M1652" s="471"/>
      <c r="N1652" s="419"/>
      <c r="O1652" s="541"/>
      <c r="P1652" s="419"/>
      <c r="Q1652" s="419"/>
      <c r="S1652" s="414" t="str">
        <f t="shared" si="206"/>
        <v>PINTURA LÁTEX ACRÍLICA EXTERNA / INTERNA S/ SELADOR</v>
      </c>
    </row>
    <row r="1653" spans="1:37" s="344" customFormat="1">
      <c r="A1653" s="55" t="s">
        <v>88</v>
      </c>
      <c r="B1653" s="49" t="str">
        <f>'[3]Plan Tron'!B72</f>
        <v xml:space="preserve">88489 </v>
      </c>
      <c r="C1653" s="49" t="str">
        <f>'[3]Plan Tron'!C72</f>
        <v>SINAPI</v>
      </c>
      <c r="D1653" s="612" t="str">
        <f>'[3]Plan Tron'!D72</f>
        <v>APLICAÇÃO MANUAL DE PINTURA COM TINTA LÁTEX ACRÍLICA EM PAREDES, DUAS DEMÃOS. AF_06/2014</v>
      </c>
      <c r="E1653" s="49" t="str">
        <f>'[3]Plan Tron'!E72</f>
        <v>M²</v>
      </c>
      <c r="F1653" s="36">
        <v>161.04</v>
      </c>
      <c r="G1653" s="9">
        <v>8.39</v>
      </c>
      <c r="H1653" s="9">
        <f>'[3]Plan Tron'!F72</f>
        <v>9.69</v>
      </c>
      <c r="I1653" s="172">
        <v>26.44</v>
      </c>
      <c r="J1653" s="172">
        <f>ROUND(H1653*(I1653/100+1),2)</f>
        <v>12.25</v>
      </c>
      <c r="K1653" s="383">
        <v>0</v>
      </c>
      <c r="L1653" s="474">
        <f>F1653-K1653</f>
        <v>161.04</v>
      </c>
      <c r="M1653" s="471">
        <f t="shared" si="205"/>
        <v>1972.74</v>
      </c>
      <c r="N1653" s="405"/>
      <c r="O1653" s="541"/>
      <c r="P1653" s="405"/>
      <c r="Q1653" s="405"/>
      <c r="S1653" s="344" t="str">
        <f t="shared" si="206"/>
        <v>APLICAÇÃO MANUAL DE PINTURA COM TINTA LÁTEX ACRÍLICA EM PAREDES, DUAS DEMÃOS. AF_06/2014</v>
      </c>
    </row>
    <row r="1654" spans="1:37" s="414" customFormat="1">
      <c r="A1654" s="650" t="s">
        <v>797</v>
      </c>
      <c r="B1654" s="411"/>
      <c r="C1654" s="410"/>
      <c r="D1654" s="429" t="s">
        <v>2113</v>
      </c>
      <c r="E1654" s="617"/>
      <c r="F1654" s="422"/>
      <c r="G1654" s="619"/>
      <c r="H1654" s="619"/>
      <c r="I1654" s="437"/>
      <c r="J1654" s="437"/>
      <c r="K1654" s="498"/>
      <c r="L1654" s="474"/>
      <c r="M1654" s="471"/>
      <c r="N1654" s="419"/>
      <c r="O1654" s="541"/>
      <c r="P1654" s="419"/>
      <c r="Q1654" s="419"/>
      <c r="S1654" s="414" t="str">
        <f t="shared" si="206"/>
        <v>PINTURA EM CONCRETO APARENTE</v>
      </c>
    </row>
    <row r="1655" spans="1:37" s="344" customFormat="1">
      <c r="A1655" s="49" t="s">
        <v>796</v>
      </c>
      <c r="B1655" s="49">
        <f>'[3]Plan Tron'!B75</f>
        <v>84678</v>
      </c>
      <c r="C1655" s="49" t="str">
        <f>'[3]Plan Tron'!C75</f>
        <v>SINAPI</v>
      </c>
      <c r="D1655" s="612" t="str">
        <f>'[3]Plan Tron'!D75</f>
        <v xml:space="preserve">VERNIZ POLIURETANO BRILHANTE EM CONCRETO OU TIJOLO, TRES DEMAOS </v>
      </c>
      <c r="E1655" s="49" t="str">
        <f>'[3]Plan Tron'!E75</f>
        <v>M²</v>
      </c>
      <c r="F1655" s="21">
        <v>0.09</v>
      </c>
      <c r="G1655" s="27">
        <v>11.75</v>
      </c>
      <c r="H1655" s="27">
        <f>'[3]Plan Tron'!F75</f>
        <v>16.84</v>
      </c>
      <c r="I1655" s="172">
        <v>26.44</v>
      </c>
      <c r="J1655" s="172">
        <f>ROUND(H1655*(I1655/100+1),2)</f>
        <v>21.29</v>
      </c>
      <c r="K1655" s="383">
        <v>0</v>
      </c>
      <c r="L1655" s="474">
        <f>F1655-K1655</f>
        <v>0.09</v>
      </c>
      <c r="M1655" s="471">
        <f t="shared" si="205"/>
        <v>1.92</v>
      </c>
      <c r="N1655" s="405"/>
      <c r="O1655" s="541"/>
      <c r="P1655" s="405"/>
      <c r="Q1655" s="405"/>
      <c r="S1655" s="344" t="str">
        <f t="shared" si="206"/>
        <v xml:space="preserve">VERNIZ POLIURETANO BRILHANTE EM CONCRETO OU TIJOLO, TRES DEMAOS </v>
      </c>
    </row>
    <row r="1656" spans="1:37">
      <c r="A1656" s="49"/>
      <c r="B1656" s="17"/>
      <c r="C1656" s="49"/>
      <c r="D1656" s="89"/>
      <c r="E1656" s="7"/>
      <c r="F1656" s="10"/>
      <c r="G1656" s="9"/>
      <c r="H1656" s="9"/>
      <c r="I1656" s="172"/>
      <c r="J1656" s="172"/>
      <c r="K1656" s="65"/>
      <c r="L1656" s="474"/>
      <c r="M1656" s="471"/>
      <c r="N1656" s="405"/>
      <c r="O1656" s="541"/>
      <c r="P1656" s="405"/>
      <c r="Q1656" s="405"/>
      <c r="S1656" s="344" t="str">
        <f>UPPER(K1656)</f>
        <v/>
      </c>
    </row>
    <row r="1657" spans="1:37">
      <c r="A1657" s="49"/>
      <c r="B1657" s="17"/>
      <c r="C1657" s="49"/>
      <c r="D1657" s="53" t="s">
        <v>76</v>
      </c>
      <c r="E1657" s="7"/>
      <c r="F1657" s="10"/>
      <c r="G1657" s="27"/>
      <c r="H1657" s="27"/>
      <c r="I1657" s="172"/>
      <c r="J1657" s="172"/>
      <c r="K1657" s="383"/>
      <c r="L1657" s="474"/>
      <c r="M1657" s="471"/>
      <c r="N1657" s="405"/>
      <c r="O1657" s="541"/>
      <c r="P1657" s="405"/>
      <c r="Q1657" s="405"/>
      <c r="S1657" s="344" t="str">
        <f>UPPER(D1657)</f>
        <v/>
      </c>
    </row>
    <row r="1658" spans="1:37">
      <c r="A1658" s="67">
        <v>9</v>
      </c>
      <c r="B1658" s="68"/>
      <c r="C1658" s="67"/>
      <c r="D1658" s="400" t="s">
        <v>2109</v>
      </c>
      <c r="E1658" s="32"/>
      <c r="F1658" s="8"/>
      <c r="G1658" s="33"/>
      <c r="H1658" s="33"/>
      <c r="I1658" s="172"/>
      <c r="J1658" s="172"/>
      <c r="K1658" s="383"/>
      <c r="L1658" s="474"/>
      <c r="M1658" s="471"/>
      <c r="N1658" s="405"/>
      <c r="O1658" s="541"/>
      <c r="P1658" s="405"/>
      <c r="Q1658" s="405"/>
      <c r="S1658" s="344" t="str">
        <f>UPPER(D1658)</f>
        <v>MONTAGEM DE MATERIAIS E EQUIPAMENTOS HIDRÁULICOS, HIDROMECÂNICOS E DIVERSOS</v>
      </c>
    </row>
    <row r="1659" spans="1:37" s="344" customFormat="1" ht="25.5">
      <c r="A1659" s="69" t="s">
        <v>87</v>
      </c>
      <c r="B1659" s="11" t="s">
        <v>1485</v>
      </c>
      <c r="C1659" s="69"/>
      <c r="D1659" s="84" t="s">
        <v>2293</v>
      </c>
      <c r="E1659" s="24" t="s">
        <v>2339</v>
      </c>
      <c r="F1659" s="10">
        <v>1</v>
      </c>
      <c r="G1659" s="27">
        <v>59248.4</v>
      </c>
      <c r="H1659" s="9">
        <f t="shared" ref="H1659" si="207">G1659*$P$7</f>
        <v>68449.676520000008</v>
      </c>
      <c r="I1659" s="172">
        <v>26.44</v>
      </c>
      <c r="J1659" s="172">
        <f>ROUND(H1659*(I1659/100+1),2)</f>
        <v>86547.77</v>
      </c>
      <c r="K1659" s="383">
        <v>0</v>
      </c>
      <c r="L1659" s="474">
        <f>F1659-K1659</f>
        <v>1</v>
      </c>
      <c r="M1659" s="471">
        <f t="shared" si="205"/>
        <v>86547.77</v>
      </c>
      <c r="N1659" s="405"/>
      <c r="O1659" s="541"/>
      <c r="P1659" s="405"/>
      <c r="Q1659" s="405"/>
      <c r="S1659" s="344" t="str">
        <f>UPPER(D1659)</f>
        <v>MONTAGEM HIDRÁULICA E HIDROMECÂNICA DE EQUIPAMENTOS, VÁLVULAS, TUBOS, PEÇAS E ACESSÓRIOS DA LISTA DE MATERIAL DA ESTAÇÃO ELEVATÓRIA DE ÁGUA PARA LAVAGEM DOS FILTROS.</v>
      </c>
    </row>
    <row r="1660" spans="1:37">
      <c r="A1660" s="69"/>
      <c r="B1660" s="112"/>
      <c r="C1660" s="69"/>
      <c r="D1660" s="112"/>
      <c r="E1660" s="140"/>
      <c r="F1660" s="8"/>
      <c r="G1660" s="323"/>
      <c r="H1660" s="141"/>
      <c r="I1660" s="141"/>
      <c r="J1660" s="141"/>
      <c r="K1660" s="112"/>
      <c r="L1660" s="474"/>
      <c r="M1660" s="472"/>
      <c r="N1660" s="405"/>
      <c r="O1660" s="541"/>
      <c r="P1660" s="405"/>
      <c r="Q1660" s="405"/>
    </row>
    <row r="1661" spans="1:37" s="299" customFormat="1">
      <c r="A1661" s="297"/>
      <c r="B1661" s="298"/>
      <c r="C1661" s="298"/>
      <c r="D1661" s="341"/>
      <c r="E1661" s="297"/>
      <c r="F1661" s="298"/>
      <c r="G1661" s="301"/>
      <c r="H1661" s="338"/>
      <c r="I1661" s="298"/>
      <c r="J1661" s="298"/>
      <c r="K1661" s="341"/>
      <c r="L1661" s="474"/>
      <c r="M1661" s="471"/>
      <c r="N1661" s="405"/>
      <c r="O1661" s="541"/>
      <c r="P1661" s="405"/>
      <c r="Q1661" s="405"/>
      <c r="R1661" s="388"/>
      <c r="S1661" s="344" t="str">
        <f>UPPER(D1661)</f>
        <v/>
      </c>
      <c r="T1661" s="388"/>
      <c r="U1661" s="388"/>
      <c r="V1661" s="388"/>
      <c r="W1661" s="388"/>
      <c r="X1661" s="388"/>
      <c r="Y1661" s="388"/>
      <c r="Z1661" s="388"/>
      <c r="AA1661" s="388"/>
      <c r="AB1661" s="388"/>
      <c r="AC1661" s="388"/>
      <c r="AD1661" s="388"/>
      <c r="AE1661" s="388"/>
      <c r="AF1661" s="388"/>
      <c r="AG1661" s="388"/>
      <c r="AH1661" s="388"/>
      <c r="AI1661" s="388"/>
      <c r="AJ1661" s="388"/>
      <c r="AK1661" s="388"/>
    </row>
    <row r="1662" spans="1:37" s="529" customFormat="1">
      <c r="A1662" s="525"/>
      <c r="B1662" s="526"/>
      <c r="C1662" s="526"/>
      <c r="D1662" s="511" t="s">
        <v>2377</v>
      </c>
      <c r="E1662" s="525"/>
      <c r="F1662" s="526"/>
      <c r="G1662" s="527"/>
      <c r="H1662" s="781"/>
      <c r="I1662" s="526"/>
      <c r="J1662" s="526"/>
      <c r="K1662" s="511"/>
      <c r="L1662" s="508"/>
      <c r="M1662" s="505">
        <f>SUM(M1571:M1660)</f>
        <v>222855.31</v>
      </c>
      <c r="N1662" s="416"/>
      <c r="O1662" s="541"/>
      <c r="P1662" s="416"/>
      <c r="Q1662" s="416"/>
      <c r="R1662" s="528"/>
      <c r="S1662" s="417"/>
      <c r="T1662" s="528"/>
      <c r="U1662" s="528"/>
      <c r="V1662" s="528"/>
      <c r="W1662" s="528"/>
      <c r="X1662" s="528"/>
      <c r="Y1662" s="528"/>
      <c r="Z1662" s="528"/>
      <c r="AA1662" s="528"/>
      <c r="AB1662" s="528"/>
      <c r="AC1662" s="528"/>
      <c r="AD1662" s="528"/>
      <c r="AE1662" s="528"/>
      <c r="AF1662" s="528"/>
      <c r="AG1662" s="528"/>
      <c r="AH1662" s="528"/>
      <c r="AI1662" s="528"/>
      <c r="AJ1662" s="528"/>
      <c r="AK1662" s="528"/>
    </row>
    <row r="1663" spans="1:37">
      <c r="A1663" s="296"/>
      <c r="B1663" s="44"/>
      <c r="C1663" s="44"/>
      <c r="D1663" s="438" t="s">
        <v>76</v>
      </c>
      <c r="E1663" s="296" t="s">
        <v>76</v>
      </c>
      <c r="F1663" s="44"/>
      <c r="G1663" s="302"/>
      <c r="H1663" s="339"/>
      <c r="I1663" s="44"/>
      <c r="J1663" s="44"/>
      <c r="K1663" s="383"/>
      <c r="L1663" s="474"/>
      <c r="M1663" s="471"/>
      <c r="N1663" s="405"/>
      <c r="O1663" s="541"/>
      <c r="P1663" s="405"/>
      <c r="Q1663" s="405"/>
      <c r="S1663" s="344" t="str">
        <f t="shared" ref="S1663:S1689" si="208">UPPER(D1663)</f>
        <v/>
      </c>
    </row>
    <row r="1664" spans="1:37" s="450" customFormat="1">
      <c r="A1664" s="445" t="s">
        <v>29</v>
      </c>
      <c r="B1664" s="446"/>
      <c r="C1664" s="447"/>
      <c r="D1664" s="448" t="s">
        <v>2005</v>
      </c>
      <c r="E1664" s="453" t="s">
        <v>76</v>
      </c>
      <c r="F1664" s="446"/>
      <c r="G1664" s="446"/>
      <c r="H1664" s="446"/>
      <c r="I1664" s="446"/>
      <c r="J1664" s="446"/>
      <c r="K1664" s="473"/>
      <c r="L1664" s="478"/>
      <c r="M1664" s="479"/>
      <c r="N1664" s="454"/>
      <c r="O1664" s="541"/>
      <c r="P1664" s="454"/>
      <c r="Q1664" s="454"/>
      <c r="S1664" s="450" t="str">
        <f t="shared" si="208"/>
        <v>INSTALAÇÕES ELÉTRICAS (ESTAÇÃO ELEVATÓRIA DE ÁGUPARA LAVAGEM DOS FILTROS)</v>
      </c>
    </row>
    <row r="1665" spans="1:19" ht="25.5">
      <c r="A1665" s="45"/>
      <c r="B1665" s="57"/>
      <c r="C1665" s="45"/>
      <c r="D1665" s="53" t="s">
        <v>2294</v>
      </c>
      <c r="E1665" s="47" t="s">
        <v>76</v>
      </c>
      <c r="F1665" s="48"/>
      <c r="G1665" s="312"/>
      <c r="H1665" s="9"/>
      <c r="I1665" s="9"/>
      <c r="J1665" s="9"/>
      <c r="K1665" s="383"/>
      <c r="L1665" s="474"/>
      <c r="M1665" s="471"/>
      <c r="N1665" s="405"/>
      <c r="O1665" s="541"/>
      <c r="P1665" s="405"/>
      <c r="Q1665" s="405"/>
      <c r="S1665" s="344" t="str">
        <f t="shared" si="208"/>
        <v>MONTAGEM DE MATERIAIS E EQUIPAMENTOS ELÉTRICOS, DE AUTOMAÇÃO E DIVERSOS - ELEVATÓRIA DE LAVAGEM</v>
      </c>
    </row>
    <row r="1666" spans="1:19">
      <c r="A1666" s="45">
        <v>1</v>
      </c>
      <c r="B1666" s="57"/>
      <c r="C1666" s="45"/>
      <c r="D1666" s="53" t="s">
        <v>2295</v>
      </c>
      <c r="E1666" s="47" t="s">
        <v>76</v>
      </c>
      <c r="F1666" s="48"/>
      <c r="G1666" s="9"/>
      <c r="H1666" s="9"/>
      <c r="I1666" s="9"/>
      <c r="J1666" s="9"/>
      <c r="K1666" s="383"/>
      <c r="L1666" s="474"/>
      <c r="M1666" s="471"/>
      <c r="N1666" s="405"/>
      <c r="O1666" s="541"/>
      <c r="P1666" s="405"/>
      <c r="Q1666" s="405"/>
      <c r="S1666" s="344" t="str">
        <f t="shared" si="208"/>
        <v>MONTAGEM ELÉTRICA - ELEVATÓRIA DE LAVAGEM</v>
      </c>
    </row>
    <row r="1667" spans="1:19" s="344" customFormat="1">
      <c r="A1667" s="49" t="s">
        <v>20</v>
      </c>
      <c r="B1667" s="50" t="s">
        <v>1754</v>
      </c>
      <c r="C1667" s="49"/>
      <c r="D1667" s="130" t="s">
        <v>2150</v>
      </c>
      <c r="E1667" s="18" t="s">
        <v>2337</v>
      </c>
      <c r="F1667" s="36">
        <v>1</v>
      </c>
      <c r="G1667" s="9">
        <v>3632.8</v>
      </c>
      <c r="H1667" s="9">
        <f t="shared" ref="H1667:H1669" si="209">G1667*$P$7</f>
        <v>4196.9738400000006</v>
      </c>
      <c r="I1667" s="9">
        <v>26.44</v>
      </c>
      <c r="J1667" s="9">
        <f>ROUND(H1667*(I1667/100+1),2)</f>
        <v>5306.65</v>
      </c>
      <c r="K1667" s="383">
        <v>0</v>
      </c>
      <c r="L1667" s="474">
        <f>F1667-K1667</f>
        <v>1</v>
      </c>
      <c r="M1667" s="471">
        <f t="shared" ref="M1667:M1689" si="210">ROUND(L1667*J1667,2)</f>
        <v>5306.65</v>
      </c>
      <c r="N1667" s="405"/>
      <c r="O1667" s="541"/>
      <c r="P1667" s="405"/>
      <c r="Q1667" s="405"/>
      <c r="S1667" s="344" t="str">
        <f t="shared" si="208"/>
        <v>MONTAGEM DE MATERIAIS ELÉTRICOS DE  BAIXA TENSÃO, CONFORME COMPOSIÇÃO EM ANEXO.</v>
      </c>
    </row>
    <row r="1668" spans="1:19" s="344" customFormat="1">
      <c r="A1668" s="49" t="s">
        <v>19</v>
      </c>
      <c r="B1668" s="50" t="s">
        <v>1753</v>
      </c>
      <c r="C1668" s="49"/>
      <c r="D1668" s="130" t="s">
        <v>2164</v>
      </c>
      <c r="E1668" s="7" t="s">
        <v>2337</v>
      </c>
      <c r="F1668" s="27">
        <v>1</v>
      </c>
      <c r="G1668" s="9">
        <v>11032</v>
      </c>
      <c r="H1668" s="9">
        <f t="shared" si="209"/>
        <v>12745.2696</v>
      </c>
      <c r="I1668" s="9">
        <v>26.44</v>
      </c>
      <c r="J1668" s="9">
        <f>ROUND(H1668*(I1668/100+1),2)</f>
        <v>16115.12</v>
      </c>
      <c r="K1668" s="383">
        <v>0</v>
      </c>
      <c r="L1668" s="474">
        <f>F1668-K1668</f>
        <v>1</v>
      </c>
      <c r="M1668" s="471">
        <f t="shared" si="210"/>
        <v>16115.12</v>
      </c>
      <c r="N1668" s="405"/>
      <c r="O1668" s="541"/>
      <c r="P1668" s="405"/>
      <c r="Q1668" s="405"/>
      <c r="S1668" s="344" t="str">
        <f t="shared" si="208"/>
        <v>INSTALAÇÃO DE PAINÉIS DA ELEVATÓRIA, CONFORME COMPOSIÇÃO EM ANEXO.</v>
      </c>
    </row>
    <row r="1669" spans="1:19" s="344" customFormat="1" ht="25.5">
      <c r="A1669" s="49" t="s">
        <v>18</v>
      </c>
      <c r="B1669" s="50" t="s">
        <v>1407</v>
      </c>
      <c r="C1669" s="49"/>
      <c r="D1669" s="130" t="s">
        <v>2165</v>
      </c>
      <c r="E1669" s="18" t="s">
        <v>2337</v>
      </c>
      <c r="F1669" s="36">
        <v>1</v>
      </c>
      <c r="G1669" s="9">
        <v>24056</v>
      </c>
      <c r="H1669" s="9">
        <f t="shared" si="209"/>
        <v>27791.896799999999</v>
      </c>
      <c r="I1669" s="9">
        <v>26.44</v>
      </c>
      <c r="J1669" s="9">
        <f>ROUND(H1669*(I1669/100+1),2)</f>
        <v>35140.07</v>
      </c>
      <c r="K1669" s="383">
        <v>0</v>
      </c>
      <c r="L1669" s="474">
        <f>F1669-K1669</f>
        <v>1</v>
      </c>
      <c r="M1669" s="471">
        <f t="shared" si="210"/>
        <v>35140.07</v>
      </c>
      <c r="N1669" s="405"/>
      <c r="O1669" s="541"/>
      <c r="P1669" s="405"/>
      <c r="Q1669" s="405"/>
      <c r="S1669" s="344" t="str">
        <f t="shared" si="208"/>
        <v>PROGRAMAÇÃO DO CLP, DA ELEVATÓRIA, COM ELABORAÇÃO DE TELAS DE PROCESSO, ELABORAÇÃO DE FLUXOGRAMA, ESPECIFICAÇÕES, MANUAIS POSTA EM MARCHA, TREINAMENTO, ETC.</v>
      </c>
    </row>
    <row r="1670" spans="1:19" s="414" customFormat="1">
      <c r="A1670" s="410" t="s">
        <v>17</v>
      </c>
      <c r="B1670" s="428"/>
      <c r="C1670" s="410"/>
      <c r="D1670" s="429" t="s">
        <v>2090</v>
      </c>
      <c r="E1670" s="421"/>
      <c r="F1670" s="623"/>
      <c r="G1670" s="412"/>
      <c r="H1670" s="412"/>
      <c r="I1670" s="412"/>
      <c r="J1670" s="412"/>
      <c r="K1670" s="498"/>
      <c r="L1670" s="474"/>
      <c r="M1670" s="471"/>
      <c r="N1670" s="419"/>
      <c r="O1670" s="541"/>
      <c r="P1670" s="419"/>
      <c r="Q1670" s="419"/>
      <c r="S1670" s="414" t="str">
        <f t="shared" si="208"/>
        <v>FIOS E CABOS</v>
      </c>
    </row>
    <row r="1671" spans="1:19" s="344" customFormat="1" ht="25.5">
      <c r="A1671" s="49" t="s">
        <v>195</v>
      </c>
      <c r="B1671" s="50">
        <f>'[3]Plan Tron'!B45</f>
        <v>92980</v>
      </c>
      <c r="C1671" s="57" t="str">
        <f>'[3]Plan Tron'!C45</f>
        <v>SINAPI</v>
      </c>
      <c r="D1671" s="643" t="str">
        <f>'[3]Plan Tron'!D45</f>
        <v>CABO DE COBRE FLEXÍVEL ISOLADO, 10 MM², ANTI-CHAMA 0,6/1,0 KV, PARA DISTRIBUIÇÃO - FORNECIMENTO E INSTALAÇÃO. AF_12/2015</v>
      </c>
      <c r="E1671" s="57" t="str">
        <f>'[3]Plan Tron'!E45</f>
        <v>M</v>
      </c>
      <c r="F1671" s="21">
        <v>20</v>
      </c>
      <c r="G1671" s="9">
        <v>6.44</v>
      </c>
      <c r="H1671" s="9">
        <f>'[3]Plan Tron'!F45</f>
        <v>5.07</v>
      </c>
      <c r="I1671" s="9">
        <v>26.44</v>
      </c>
      <c r="J1671" s="9">
        <f>ROUND(H1671*(I1671/100+1),2)</f>
        <v>6.41</v>
      </c>
      <c r="K1671" s="383">
        <v>0</v>
      </c>
      <c r="L1671" s="474">
        <f t="shared" ref="L1671:L1676" si="211">F1671-K1671</f>
        <v>20</v>
      </c>
      <c r="M1671" s="471">
        <f t="shared" si="210"/>
        <v>128.19999999999999</v>
      </c>
      <c r="N1671" s="405"/>
      <c r="O1671" s="541"/>
      <c r="P1671" s="405"/>
      <c r="Q1671" s="405"/>
      <c r="S1671" s="344" t="str">
        <f t="shared" si="208"/>
        <v>CABO DE COBRE FLEXÍVEL ISOLADO, 10 MM², ANTI-CHAMA 0,6/1,0 KV, PARA DISTRIBUIÇÃO - FORNECIMENTO E INSTALAÇÃO. AF_12/2015</v>
      </c>
    </row>
    <row r="1672" spans="1:19" s="344" customFormat="1">
      <c r="A1672" s="49" t="s">
        <v>192</v>
      </c>
      <c r="B1672" s="50">
        <f>'[3]Plan Tron'!B132</f>
        <v>390216</v>
      </c>
      <c r="C1672" s="57" t="str">
        <f>'[3]Plan Tron'!C132</f>
        <v>CPOS</v>
      </c>
      <c r="D1672" s="644" t="str">
        <f>UPPER('[3]Plan Tron'!D132)</f>
        <v>CABO DE COBRE DE 2,5 MM², ISOLAMENTO 750 V - ISOLAÇÃO EM PVC 70°C COR AZUL</v>
      </c>
      <c r="E1672" s="57" t="str">
        <f>'[3]Plan Tron'!E132</f>
        <v>M</v>
      </c>
      <c r="F1672" s="21">
        <v>150</v>
      </c>
      <c r="G1672" s="9">
        <f>G732</f>
        <v>2.2799999999999998</v>
      </c>
      <c r="H1672" s="9">
        <f>'[3]Plan Tron'!F132</f>
        <v>2.25</v>
      </c>
      <c r="I1672" s="9">
        <v>26.44</v>
      </c>
      <c r="J1672" s="9">
        <f t="shared" ref="J1672:J1681" si="212">ROUND(H1672*(I1672/100+1),2)</f>
        <v>2.84</v>
      </c>
      <c r="K1672" s="383">
        <v>0</v>
      </c>
      <c r="L1672" s="474">
        <f t="shared" si="211"/>
        <v>150</v>
      </c>
      <c r="M1672" s="471">
        <f t="shared" si="210"/>
        <v>426</v>
      </c>
      <c r="N1672" s="405"/>
      <c r="O1672" s="541"/>
      <c r="P1672" s="405"/>
      <c r="Q1672" s="405"/>
      <c r="S1672" s="344" t="str">
        <f t="shared" si="208"/>
        <v>CABO DE COBRE DE 2,5 MM², ISOLAMENTO 750 V - ISOLAÇÃO EM PVC 70°C COR AZUL</v>
      </c>
    </row>
    <row r="1673" spans="1:19" s="344" customFormat="1">
      <c r="A1673" s="49" t="s">
        <v>280</v>
      </c>
      <c r="B1673" s="50">
        <f>'[3]Plan Tron'!B133</f>
        <v>390216</v>
      </c>
      <c r="C1673" s="57" t="str">
        <f>'[3]Plan Tron'!C133</f>
        <v>CPOS</v>
      </c>
      <c r="D1673" s="644" t="str">
        <f>UPPER('[3]Plan Tron'!D133)</f>
        <v>CABO DE COBRE DE 2,5 MM², ISOLAMENTO 750 V - ISOLAÇÃO EM PVC 70°C COR PRETO</v>
      </c>
      <c r="E1673" s="57" t="str">
        <f>'[3]Plan Tron'!E133</f>
        <v>M</v>
      </c>
      <c r="F1673" s="21">
        <v>50</v>
      </c>
      <c r="G1673" s="9">
        <f>G732</f>
        <v>2.2799999999999998</v>
      </c>
      <c r="H1673" s="9">
        <f>'[3]Plan Tron'!F133</f>
        <v>2.25</v>
      </c>
      <c r="I1673" s="9">
        <v>26.44</v>
      </c>
      <c r="J1673" s="9">
        <f t="shared" si="212"/>
        <v>2.84</v>
      </c>
      <c r="K1673" s="383">
        <v>0</v>
      </c>
      <c r="L1673" s="474">
        <f t="shared" si="211"/>
        <v>50</v>
      </c>
      <c r="M1673" s="471">
        <f t="shared" si="210"/>
        <v>142</v>
      </c>
      <c r="N1673" s="405"/>
      <c r="O1673" s="541"/>
      <c r="P1673" s="405"/>
      <c r="Q1673" s="405"/>
      <c r="S1673" s="344" t="str">
        <f t="shared" si="208"/>
        <v>CABO DE COBRE DE 2,5 MM², ISOLAMENTO 750 V - ISOLAÇÃO EM PVC 70°C COR PRETO</v>
      </c>
    </row>
    <row r="1674" spans="1:19" s="344" customFormat="1">
      <c r="A1674" s="49" t="s">
        <v>277</v>
      </c>
      <c r="B1674" s="50">
        <f>'[3]Plan Tron'!B134</f>
        <v>390216</v>
      </c>
      <c r="C1674" s="57" t="str">
        <f>'[3]Plan Tron'!C134</f>
        <v>CPOS</v>
      </c>
      <c r="D1674" s="644" t="str">
        <f>UPPER('[3]Plan Tron'!D134)</f>
        <v>CABO DE COBRE DE 2,5 MM², ISOLAMENTO 750 V - ISOLAÇÃO EM PVC 70°C COR VERDE</v>
      </c>
      <c r="E1674" s="57" t="str">
        <f>'[3]Plan Tron'!E134</f>
        <v>M</v>
      </c>
      <c r="F1674" s="51">
        <v>50</v>
      </c>
      <c r="G1674" s="9">
        <f>G732</f>
        <v>2.2799999999999998</v>
      </c>
      <c r="H1674" s="9">
        <f>'[3]Plan Tron'!F134</f>
        <v>2.25</v>
      </c>
      <c r="I1674" s="9">
        <v>26.44</v>
      </c>
      <c r="J1674" s="9">
        <f t="shared" si="212"/>
        <v>2.84</v>
      </c>
      <c r="K1674" s="383">
        <v>0</v>
      </c>
      <c r="L1674" s="474">
        <f t="shared" si="211"/>
        <v>50</v>
      </c>
      <c r="M1674" s="471">
        <f t="shared" si="210"/>
        <v>142</v>
      </c>
      <c r="N1674" s="405"/>
      <c r="O1674" s="541"/>
      <c r="P1674" s="405"/>
      <c r="Q1674" s="405"/>
      <c r="S1674" s="344" t="str">
        <f t="shared" si="208"/>
        <v>CABO DE COBRE DE 2,5 MM², ISOLAMENTO 750 V - ISOLAÇÃO EM PVC 70°C COR VERDE</v>
      </c>
    </row>
    <row r="1675" spans="1:19" s="344" customFormat="1">
      <c r="A1675" s="49" t="s">
        <v>275</v>
      </c>
      <c r="B1675" s="50">
        <f t="shared" ref="B1675:E1676" si="213">B1672</f>
        <v>390216</v>
      </c>
      <c r="C1675" s="49" t="str">
        <f t="shared" si="213"/>
        <v>CPOS</v>
      </c>
      <c r="D1675" s="644" t="str">
        <f t="shared" si="213"/>
        <v>CABO DE COBRE DE 2,5 MM², ISOLAMENTO 750 V - ISOLAÇÃO EM PVC 70°C COR AZUL</v>
      </c>
      <c r="E1675" s="652" t="str">
        <f t="shared" si="213"/>
        <v>M</v>
      </c>
      <c r="F1675" s="51">
        <v>50</v>
      </c>
      <c r="G1675" s="9">
        <f>G732</f>
        <v>2.2799999999999998</v>
      </c>
      <c r="H1675" s="9">
        <f>H1672</f>
        <v>2.25</v>
      </c>
      <c r="I1675" s="9">
        <v>26.44</v>
      </c>
      <c r="J1675" s="9">
        <f t="shared" si="212"/>
        <v>2.84</v>
      </c>
      <c r="K1675" s="383">
        <v>0</v>
      </c>
      <c r="L1675" s="474">
        <f t="shared" si="211"/>
        <v>50</v>
      </c>
      <c r="M1675" s="471">
        <f t="shared" si="210"/>
        <v>142</v>
      </c>
      <c r="N1675" s="405"/>
      <c r="O1675" s="541"/>
      <c r="P1675" s="405"/>
      <c r="Q1675" s="405"/>
      <c r="S1675" s="344" t="str">
        <f t="shared" si="208"/>
        <v>CABO DE COBRE DE 2,5 MM², ISOLAMENTO 750 V - ISOLAÇÃO EM PVC 70°C COR AZUL</v>
      </c>
    </row>
    <row r="1676" spans="1:19" s="344" customFormat="1">
      <c r="A1676" s="49" t="s">
        <v>274</v>
      </c>
      <c r="B1676" s="50">
        <f t="shared" si="213"/>
        <v>390216</v>
      </c>
      <c r="C1676" s="49" t="str">
        <f t="shared" si="213"/>
        <v>CPOS</v>
      </c>
      <c r="D1676" s="644" t="str">
        <f t="shared" si="213"/>
        <v>CABO DE COBRE DE 2,5 MM², ISOLAMENTO 750 V - ISOLAÇÃO EM PVC 70°C COR PRETO</v>
      </c>
      <c r="E1676" s="652" t="str">
        <f t="shared" si="213"/>
        <v>M</v>
      </c>
      <c r="F1676" s="21">
        <v>150</v>
      </c>
      <c r="G1676" s="9">
        <f>G732</f>
        <v>2.2799999999999998</v>
      </c>
      <c r="H1676" s="9">
        <f>H1673</f>
        <v>2.25</v>
      </c>
      <c r="I1676" s="9">
        <v>26.44</v>
      </c>
      <c r="J1676" s="9">
        <f t="shared" si="212"/>
        <v>2.84</v>
      </c>
      <c r="K1676" s="383">
        <v>0</v>
      </c>
      <c r="L1676" s="474">
        <f t="shared" si="211"/>
        <v>150</v>
      </c>
      <c r="M1676" s="471">
        <f t="shared" si="210"/>
        <v>426</v>
      </c>
      <c r="N1676" s="405"/>
      <c r="O1676" s="541"/>
      <c r="P1676" s="405"/>
      <c r="Q1676" s="405"/>
      <c r="S1676" s="344" t="str">
        <f t="shared" si="208"/>
        <v>CABO DE COBRE DE 2,5 MM², ISOLAMENTO 750 V - ISOLAÇÃO EM PVC 70°C COR PRETO</v>
      </c>
    </row>
    <row r="1677" spans="1:19" s="414" customFormat="1">
      <c r="A1677" s="410" t="s">
        <v>16</v>
      </c>
      <c r="B1677" s="428"/>
      <c r="C1677" s="410"/>
      <c r="D1677" s="429" t="s">
        <v>2091</v>
      </c>
      <c r="E1677" s="421"/>
      <c r="F1677" s="623"/>
      <c r="G1677" s="412"/>
      <c r="H1677" s="412"/>
      <c r="I1677" s="412"/>
      <c r="J1677" s="9"/>
      <c r="K1677" s="498"/>
      <c r="L1677" s="474"/>
      <c r="M1677" s="471"/>
      <c r="N1677" s="419"/>
      <c r="O1677" s="541"/>
      <c r="P1677" s="419"/>
      <c r="Q1677" s="419"/>
      <c r="S1677" s="414" t="str">
        <f t="shared" si="208"/>
        <v>ELETRODUTOS E AFINS</v>
      </c>
    </row>
    <row r="1678" spans="1:19" s="344" customFormat="1">
      <c r="A1678" s="49" t="s">
        <v>270</v>
      </c>
      <c r="B1678" s="49" t="str">
        <f>'[3]Plan Tron'!B53</f>
        <v xml:space="preserve">380404 </v>
      </c>
      <c r="C1678" s="49" t="str">
        <f>'[3]Plan Tron'!C53</f>
        <v>CPOS</v>
      </c>
      <c r="D1678" s="612" t="str">
        <f>'[3]Plan Tron'!D53</f>
        <v xml:space="preserve">ELETRODUTO DE FERRO GALVANIZADO, MÉDIO DE 3/4' - COM ACESSÓRIOS </v>
      </c>
      <c r="E1678" s="49" t="str">
        <f>'[3]Plan Tron'!E53</f>
        <v>M</v>
      </c>
      <c r="F1678" s="21">
        <v>12</v>
      </c>
      <c r="G1678" s="9">
        <v>19.86</v>
      </c>
      <c r="H1678" s="9">
        <f>'[3]Plan Tron'!F53</f>
        <v>20.7</v>
      </c>
      <c r="I1678" s="9">
        <v>26.44</v>
      </c>
      <c r="J1678" s="9">
        <f t="shared" si="212"/>
        <v>26.17</v>
      </c>
      <c r="K1678" s="383">
        <v>0</v>
      </c>
      <c r="L1678" s="474">
        <f>F1678-K1678</f>
        <v>12</v>
      </c>
      <c r="M1678" s="471">
        <f t="shared" si="210"/>
        <v>314.04000000000002</v>
      </c>
      <c r="N1678" s="405"/>
      <c r="O1678" s="541"/>
      <c r="P1678" s="405"/>
      <c r="Q1678" s="405"/>
      <c r="S1678" s="344" t="str">
        <f t="shared" si="208"/>
        <v xml:space="preserve">ELETRODUTO DE FERRO GALVANIZADO, MÉDIO DE 3/4' - COM ACESSÓRIOS </v>
      </c>
    </row>
    <row r="1679" spans="1:19" s="344" customFormat="1">
      <c r="A1679" s="49" t="s">
        <v>369</v>
      </c>
      <c r="B1679" s="49" t="str">
        <f>'[3]Plan Tron'!B54</f>
        <v xml:space="preserve">380406 </v>
      </c>
      <c r="C1679" s="49" t="str">
        <f>'[3]Plan Tron'!C54</f>
        <v>CPOS</v>
      </c>
      <c r="D1679" s="612" t="str">
        <f>'[3]Plan Tron'!D54</f>
        <v xml:space="preserve">ELETRODUTO DE FERRO GALVANIZADO, MÉDIO DE 1' - COM ACESSÓRIOS </v>
      </c>
      <c r="E1679" s="49" t="str">
        <f>'[3]Plan Tron'!E54</f>
        <v>M</v>
      </c>
      <c r="F1679" s="21">
        <v>6</v>
      </c>
      <c r="G1679" s="9">
        <v>21.38</v>
      </c>
      <c r="H1679" s="9">
        <f>'[3]Plan Tron'!F54</f>
        <v>24.56</v>
      </c>
      <c r="I1679" s="9">
        <v>26.44</v>
      </c>
      <c r="J1679" s="9">
        <f t="shared" si="212"/>
        <v>31.05</v>
      </c>
      <c r="K1679" s="383">
        <v>0</v>
      </c>
      <c r="L1679" s="474">
        <f>F1679-K1679</f>
        <v>6</v>
      </c>
      <c r="M1679" s="471">
        <f t="shared" si="210"/>
        <v>186.3</v>
      </c>
      <c r="N1679" s="405"/>
      <c r="O1679" s="541"/>
      <c r="P1679" s="405"/>
      <c r="Q1679" s="405"/>
      <c r="S1679" s="344" t="str">
        <f t="shared" si="208"/>
        <v xml:space="preserve">ELETRODUTO DE FERRO GALVANIZADO, MÉDIO DE 1' - COM ACESSÓRIOS </v>
      </c>
    </row>
    <row r="1680" spans="1:19" s="344" customFormat="1">
      <c r="A1680" s="49" t="s">
        <v>367</v>
      </c>
      <c r="B1680" s="49" t="str">
        <f>'[3]Plan Tron'!B55</f>
        <v xml:space="preserve">380410 </v>
      </c>
      <c r="C1680" s="49" t="str">
        <f>'[3]Plan Tron'!C55</f>
        <v>CPOS</v>
      </c>
      <c r="D1680" s="612" t="str">
        <f>'[3]Plan Tron'!D55</f>
        <v xml:space="preserve">ELETRODUTO DE FERRO GALVANIZADO, MÉDIO DE 1 1/2' - COM ACESSÓRIOS </v>
      </c>
      <c r="E1680" s="49" t="str">
        <f>'[3]Plan Tron'!E55</f>
        <v>M</v>
      </c>
      <c r="F1680" s="51">
        <v>3</v>
      </c>
      <c r="G1680" s="9">
        <v>37.71</v>
      </c>
      <c r="H1680" s="9">
        <f>'[3]Plan Tron'!F55</f>
        <v>34.200000000000003</v>
      </c>
      <c r="I1680" s="9">
        <v>26.44</v>
      </c>
      <c r="J1680" s="9">
        <f t="shared" si="212"/>
        <v>43.24</v>
      </c>
      <c r="K1680" s="383">
        <v>0</v>
      </c>
      <c r="L1680" s="474">
        <f>F1680-K1680</f>
        <v>3</v>
      </c>
      <c r="M1680" s="471">
        <f t="shared" si="210"/>
        <v>129.72</v>
      </c>
      <c r="N1680" s="405"/>
      <c r="O1680" s="541"/>
      <c r="P1680" s="405"/>
      <c r="Q1680" s="405"/>
      <c r="S1680" s="344" t="str">
        <f t="shared" si="208"/>
        <v xml:space="preserve">ELETRODUTO DE FERRO GALVANIZADO, MÉDIO DE 1 1/2' - COM ACESSÓRIOS </v>
      </c>
    </row>
    <row r="1681" spans="1:37" s="344" customFormat="1">
      <c r="A1681" s="49" t="s">
        <v>365</v>
      </c>
      <c r="B1681" s="49" t="str">
        <f>'[3]Plan Tron'!B56</f>
        <v xml:space="preserve">380412 </v>
      </c>
      <c r="C1681" s="49" t="str">
        <f>'[3]Plan Tron'!C56</f>
        <v>CPOS</v>
      </c>
      <c r="D1681" s="612" t="str">
        <f>'[3]Plan Tron'!D56</f>
        <v xml:space="preserve">ELETRODUTO DE FERRO GALVANIZADO, MÉDIO DE 2' - COM ACESSÓRIOS </v>
      </c>
      <c r="E1681" s="49" t="str">
        <f>'[3]Plan Tron'!E56</f>
        <v>M</v>
      </c>
      <c r="F1681" s="51">
        <v>36</v>
      </c>
      <c r="G1681" s="9">
        <v>43.79</v>
      </c>
      <c r="H1681" s="9">
        <f>'[3]Plan Tron'!F56</f>
        <v>39.76</v>
      </c>
      <c r="I1681" s="9">
        <v>26.44</v>
      </c>
      <c r="J1681" s="9">
        <f t="shared" si="212"/>
        <v>50.27</v>
      </c>
      <c r="K1681" s="383">
        <v>0</v>
      </c>
      <c r="L1681" s="474">
        <f>F1681-K1681</f>
        <v>36</v>
      </c>
      <c r="M1681" s="471">
        <f t="shared" si="210"/>
        <v>1809.72</v>
      </c>
      <c r="N1681" s="405"/>
      <c r="O1681" s="541"/>
      <c r="P1681" s="405"/>
      <c r="Q1681" s="405"/>
      <c r="S1681" s="344" t="str">
        <f t="shared" si="208"/>
        <v xml:space="preserve">ELETRODUTO DE FERRO GALVANIZADO, MÉDIO DE 2' - COM ACESSÓRIOS </v>
      </c>
    </row>
    <row r="1682" spans="1:37" s="344" customFormat="1">
      <c r="A1682" s="49" t="s">
        <v>1045</v>
      </c>
      <c r="B1682" s="50" t="s">
        <v>1047</v>
      </c>
      <c r="C1682" s="49" t="s">
        <v>2015</v>
      </c>
      <c r="D1682" s="130" t="s">
        <v>2296</v>
      </c>
      <c r="E1682" s="7" t="s">
        <v>2337</v>
      </c>
      <c r="F1682" s="21">
        <v>1</v>
      </c>
      <c r="G1682" s="9">
        <v>9.82</v>
      </c>
      <c r="H1682" s="9">
        <f t="shared" ref="H1682" si="214">G1682*$P$7</f>
        <v>11.345046</v>
      </c>
      <c r="I1682" s="9">
        <v>26.44</v>
      </c>
      <c r="J1682" s="9">
        <f>ROUND(H1682*(I1682/100+1),2)</f>
        <v>14.34</v>
      </c>
      <c r="K1682" s="383">
        <v>0</v>
      </c>
      <c r="L1682" s="474">
        <f>F1682-K1682</f>
        <v>1</v>
      </c>
      <c r="M1682" s="471">
        <f t="shared" si="210"/>
        <v>14.34</v>
      </c>
      <c r="N1682" s="405"/>
      <c r="O1682" s="541"/>
      <c r="P1682" s="405"/>
      <c r="Q1682" s="405"/>
      <c r="S1682" s="344" t="str">
        <f t="shared" si="208"/>
        <v xml:space="preserve">CAIXA DE LIGAÇÃO ("CONDULETE"), TIPO "T",  Ø3/4", COM TAMPA CEGA. </v>
      </c>
    </row>
    <row r="1683" spans="1:37" s="414" customFormat="1">
      <c r="A1683" s="410" t="s">
        <v>15</v>
      </c>
      <c r="B1683" s="428"/>
      <c r="C1683" s="410"/>
      <c r="D1683" s="429" t="s">
        <v>2152</v>
      </c>
      <c r="E1683" s="421"/>
      <c r="F1683" s="623"/>
      <c r="G1683" s="412"/>
      <c r="H1683" s="412"/>
      <c r="I1683" s="412"/>
      <c r="J1683" s="412"/>
      <c r="K1683" s="498"/>
      <c r="L1683" s="474"/>
      <c r="M1683" s="471"/>
      <c r="N1683" s="419"/>
      <c r="O1683" s="541"/>
      <c r="P1683" s="419"/>
      <c r="Q1683" s="419"/>
      <c r="S1683" s="414" t="str">
        <f t="shared" si="208"/>
        <v>ILUMINAÇÃO</v>
      </c>
    </row>
    <row r="1684" spans="1:37" s="344" customFormat="1" ht="25.5">
      <c r="A1684" s="49" t="s">
        <v>249</v>
      </c>
      <c r="B1684" s="50" t="str">
        <f>'[3]Plan Tron'!B97</f>
        <v xml:space="preserve">73953/006 </v>
      </c>
      <c r="C1684" s="57" t="str">
        <f>'[3]Plan Tron'!C97</f>
        <v>SINAPI</v>
      </c>
      <c r="D1684" s="643" t="str">
        <f>'[3]Plan Tron'!D97</f>
        <v>LUMINARIA TIPO CALHA, DE SOBREPOR, COM REATOR DE PARTIDA RAPIDA E LAMPADA FLUORESCENTE 2X40W, COMPLETA, FORNECIMENTO E INSTALACAO</v>
      </c>
      <c r="E1684" s="57" t="str">
        <f>'[3]Plan Tron'!E97</f>
        <v>UN.</v>
      </c>
      <c r="F1684" s="51">
        <v>2</v>
      </c>
      <c r="G1684" s="9">
        <v>73.319999999999993</v>
      </c>
      <c r="H1684" s="9">
        <f>'[3]Plan Tron'!F97</f>
        <v>95.01</v>
      </c>
      <c r="I1684" s="9">
        <v>26.44</v>
      </c>
      <c r="J1684" s="9">
        <f>ROUND(H1684*(I1684/100+1),2)</f>
        <v>120.13</v>
      </c>
      <c r="K1684" s="383">
        <v>0</v>
      </c>
      <c r="L1684" s="474">
        <f>F1684-K1684</f>
        <v>2</v>
      </c>
      <c r="M1684" s="471">
        <f t="shared" si="210"/>
        <v>240.26</v>
      </c>
      <c r="N1684" s="405"/>
      <c r="O1684" s="541"/>
      <c r="P1684" s="405"/>
      <c r="Q1684" s="405"/>
      <c r="S1684" s="344" t="str">
        <f t="shared" si="208"/>
        <v>LUMINARIA TIPO CALHA, DE SOBREPOR, COM REATOR DE PARTIDA RAPIDA E LAMPADA FLUORESCENTE 2X40W, COMPLETA, FORNECIMENTO E INSTALACAO</v>
      </c>
    </row>
    <row r="1685" spans="1:37" s="414" customFormat="1">
      <c r="A1685" s="410" t="s">
        <v>14</v>
      </c>
      <c r="B1685" s="428"/>
      <c r="C1685" s="410"/>
      <c r="D1685" s="429" t="s">
        <v>2215</v>
      </c>
      <c r="E1685" s="421"/>
      <c r="F1685" s="623"/>
      <c r="G1685" s="412"/>
      <c r="H1685" s="412"/>
      <c r="I1685" s="412"/>
      <c r="J1685" s="9"/>
      <c r="K1685" s="498"/>
      <c r="L1685" s="474"/>
      <c r="M1685" s="471"/>
      <c r="N1685" s="419"/>
      <c r="O1685" s="541"/>
      <c r="P1685" s="419"/>
      <c r="Q1685" s="419"/>
      <c r="S1685" s="414" t="str">
        <f t="shared" si="208"/>
        <v>ATERRAMENTO E SPDA</v>
      </c>
    </row>
    <row r="1686" spans="1:37" s="344" customFormat="1">
      <c r="A1686" s="49" t="s">
        <v>181</v>
      </c>
      <c r="B1686" s="49">
        <f>'[3]Plan Tron'!B63</f>
        <v>72254</v>
      </c>
      <c r="C1686" s="49" t="str">
        <f>'[3]Plan Tron'!C63</f>
        <v>SINAPI</v>
      </c>
      <c r="D1686" s="612" t="str">
        <f>'[3]Plan Tron'!D63</f>
        <v>CABO DE COBRE NU, SEÇÃO 50 MM², ENCORDOAMENTO CLASSE 2.</v>
      </c>
      <c r="E1686" s="49" t="str">
        <f>'[3]Plan Tron'!E63</f>
        <v>M</v>
      </c>
      <c r="F1686" s="51">
        <v>40</v>
      </c>
      <c r="G1686" s="9">
        <v>22.41</v>
      </c>
      <c r="H1686" s="9">
        <f>'[3]Plan Tron'!F63</f>
        <v>31.11</v>
      </c>
      <c r="I1686" s="9">
        <v>26.44</v>
      </c>
      <c r="J1686" s="9">
        <f t="shared" ref="J1686:J1689" si="215">ROUND(H1686*(I1686/100+1),2)</f>
        <v>39.340000000000003</v>
      </c>
      <c r="K1686" s="383">
        <v>0</v>
      </c>
      <c r="L1686" s="474">
        <f>F1686-K1686</f>
        <v>40</v>
      </c>
      <c r="M1686" s="471">
        <f t="shared" si="210"/>
        <v>1573.6</v>
      </c>
      <c r="N1686" s="405"/>
      <c r="O1686" s="541"/>
      <c r="P1686" s="405"/>
      <c r="Q1686" s="405"/>
      <c r="S1686" s="344" t="str">
        <f t="shared" si="208"/>
        <v>CABO DE COBRE NU, SEÇÃO 50 MM², ENCORDOAMENTO CLASSE 2.</v>
      </c>
    </row>
    <row r="1687" spans="1:37" s="344" customFormat="1">
      <c r="A1687" s="49" t="s">
        <v>180</v>
      </c>
      <c r="B1687" s="49">
        <f>'[3]Plan Tron'!B148</f>
        <v>72315</v>
      </c>
      <c r="C1687" s="49" t="str">
        <f>'[3]Plan Tron'!C148</f>
        <v>SINAPI</v>
      </c>
      <c r="D1687" s="612" t="str">
        <f>'[3]Plan Tron'!D148</f>
        <v xml:space="preserve">TERMINAL AEREO EM ACO GALVANIZADO COM BASE DE FIXACAO H = 30CM </v>
      </c>
      <c r="E1687" s="49" t="str">
        <f>'[3]Plan Tron'!E148</f>
        <v>UN.</v>
      </c>
      <c r="F1687" s="51">
        <v>6</v>
      </c>
      <c r="G1687" s="9">
        <v>17.12</v>
      </c>
      <c r="H1687" s="9">
        <f>'[3]Plan Tron'!F148</f>
        <v>25.6</v>
      </c>
      <c r="I1687" s="9">
        <v>26.44</v>
      </c>
      <c r="J1687" s="9">
        <f t="shared" si="215"/>
        <v>32.369999999999997</v>
      </c>
      <c r="K1687" s="383">
        <v>0</v>
      </c>
      <c r="L1687" s="474">
        <f>F1687-K1687</f>
        <v>6</v>
      </c>
      <c r="M1687" s="471">
        <f t="shared" si="210"/>
        <v>194.22</v>
      </c>
      <c r="N1687" s="405"/>
      <c r="O1687" s="541"/>
      <c r="P1687" s="405"/>
      <c r="Q1687" s="405"/>
      <c r="S1687" s="344" t="str">
        <f t="shared" si="208"/>
        <v xml:space="preserve">TERMINAL AEREO EM ACO GALVANIZADO COM BASE DE FIXACAO H = 30CM </v>
      </c>
    </row>
    <row r="1688" spans="1:37" s="344" customFormat="1">
      <c r="A1688" s="49" t="s">
        <v>179</v>
      </c>
      <c r="B1688" s="49">
        <f>'[3]Plan Tron'!B60</f>
        <v>83484</v>
      </c>
      <c r="C1688" s="49" t="str">
        <f>'[3]Plan Tron'!C60</f>
        <v>SINAPI</v>
      </c>
      <c r="D1688" s="612" t="str">
        <f>'[3]Plan Tron'!D60</f>
        <v>HASTE DE ATERRAMENTO DE AÇO COBREADO Ø3/4"X3,0M.</v>
      </c>
      <c r="E1688" s="49" t="str">
        <f>'[3]Plan Tron'!E60</f>
        <v>PÇ.</v>
      </c>
      <c r="F1688" s="21">
        <v>3</v>
      </c>
      <c r="G1688" s="9">
        <v>47.99</v>
      </c>
      <c r="H1688" s="9">
        <f>'[3]Plan Tron'!F60</f>
        <v>61.62</v>
      </c>
      <c r="I1688" s="9">
        <v>26.44</v>
      </c>
      <c r="J1688" s="9">
        <f t="shared" si="215"/>
        <v>77.91</v>
      </c>
      <c r="K1688" s="383">
        <v>0</v>
      </c>
      <c r="L1688" s="474">
        <f>F1688-K1688</f>
        <v>3</v>
      </c>
      <c r="M1688" s="471">
        <f t="shared" si="210"/>
        <v>233.73</v>
      </c>
      <c r="N1688" s="405"/>
      <c r="O1688" s="541"/>
      <c r="P1688" s="405"/>
      <c r="Q1688" s="405"/>
      <c r="S1688" s="344" t="str">
        <f t="shared" si="208"/>
        <v>HASTE DE ATERRAMENTO DE AÇO COBREADO Ø3/4"X3,0M.</v>
      </c>
    </row>
    <row r="1689" spans="1:37" s="344" customFormat="1">
      <c r="A1689" s="49" t="s">
        <v>178</v>
      </c>
      <c r="B1689" s="49">
        <f>'[3]Plan Tron'!B149</f>
        <v>93009</v>
      </c>
      <c r="C1689" s="49" t="str">
        <f>'[3]Plan Tron'!C149</f>
        <v>SINAPI</v>
      </c>
      <c r="D1689" s="612" t="str">
        <f>'[3]Plan Tron'!D149</f>
        <v>ELETRODUTO RÍGIDO ROSCÁVEL, PVC, DN 60 MM (2") - FORNECIMENTO E INSTALAÇÃO. AF_12/2015</v>
      </c>
      <c r="E1689" s="49" t="str">
        <f>'[3]Plan Tron'!E149</f>
        <v>M</v>
      </c>
      <c r="F1689" s="51">
        <v>18</v>
      </c>
      <c r="G1689" s="9">
        <v>18.86</v>
      </c>
      <c r="H1689" s="9">
        <f>'[3]Plan Tron'!F149</f>
        <v>13.45</v>
      </c>
      <c r="I1689" s="9">
        <v>26.44</v>
      </c>
      <c r="J1689" s="9">
        <f t="shared" si="215"/>
        <v>17.010000000000002</v>
      </c>
      <c r="K1689" s="383">
        <v>0</v>
      </c>
      <c r="L1689" s="474">
        <f>F1689-K1689</f>
        <v>18</v>
      </c>
      <c r="M1689" s="471">
        <f t="shared" si="210"/>
        <v>306.18</v>
      </c>
      <c r="N1689" s="405"/>
      <c r="O1689" s="541"/>
      <c r="P1689" s="405"/>
      <c r="Q1689" s="405"/>
      <c r="S1689" s="344" t="str">
        <f t="shared" si="208"/>
        <v>ELETRODUTO RÍGIDO ROSCÁVEL, PVC, DN 60 MM (2") - FORNECIMENTO E INSTALAÇÃO. AF_12/2015</v>
      </c>
    </row>
    <row r="1690" spans="1:37">
      <c r="A1690" s="49"/>
      <c r="B1690" s="57"/>
      <c r="C1690" s="49"/>
      <c r="D1690" s="65"/>
      <c r="E1690" s="18"/>
      <c r="F1690" s="36"/>
      <c r="G1690" s="316"/>
      <c r="H1690" s="20"/>
      <c r="I1690" s="20"/>
      <c r="J1690" s="20"/>
      <c r="K1690" s="65"/>
      <c r="L1690" s="474"/>
      <c r="M1690" s="472"/>
      <c r="N1690" s="405"/>
      <c r="O1690" s="541"/>
      <c r="P1690" s="405"/>
      <c r="Q1690" s="405"/>
    </row>
    <row r="1691" spans="1:37" s="299" customFormat="1">
      <c r="A1691" s="297"/>
      <c r="B1691" s="298"/>
      <c r="C1691" s="298"/>
      <c r="D1691" s="341"/>
      <c r="E1691" s="297"/>
      <c r="F1691" s="298"/>
      <c r="G1691" s="301"/>
      <c r="H1691" s="338"/>
      <c r="I1691" s="298"/>
      <c r="J1691" s="298"/>
      <c r="K1691" s="341"/>
      <c r="L1691" s="474"/>
      <c r="M1691" s="471"/>
      <c r="N1691" s="405"/>
      <c r="O1691" s="541"/>
      <c r="P1691" s="405"/>
      <c r="Q1691" s="405"/>
      <c r="R1691" s="388"/>
      <c r="S1691" s="344" t="str">
        <f>UPPER(D1691)</f>
        <v/>
      </c>
      <c r="T1691" s="388"/>
      <c r="U1691" s="388"/>
      <c r="V1691" s="388"/>
      <c r="W1691" s="388"/>
      <c r="X1691" s="388"/>
      <c r="Y1691" s="388"/>
      <c r="Z1691" s="388"/>
      <c r="AA1691" s="388"/>
      <c r="AB1691" s="388"/>
      <c r="AC1691" s="388"/>
      <c r="AD1691" s="388"/>
      <c r="AE1691" s="388"/>
      <c r="AF1691" s="388"/>
      <c r="AG1691" s="388"/>
      <c r="AH1691" s="388"/>
      <c r="AI1691" s="388"/>
      <c r="AJ1691" s="388"/>
      <c r="AK1691" s="388"/>
    </row>
    <row r="1692" spans="1:37" s="415" customFormat="1">
      <c r="A1692" s="523"/>
      <c r="B1692" s="433"/>
      <c r="C1692" s="433"/>
      <c r="D1692" s="511" t="s">
        <v>2378</v>
      </c>
      <c r="E1692" s="523"/>
      <c r="F1692" s="433"/>
      <c r="G1692" s="524"/>
      <c r="H1692" s="418"/>
      <c r="I1692" s="433"/>
      <c r="J1692" s="433"/>
      <c r="K1692" s="511"/>
      <c r="L1692" s="476"/>
      <c r="M1692" s="505">
        <f>SUM(M1667:M1689)</f>
        <v>62970.15</v>
      </c>
      <c r="N1692" s="419"/>
      <c r="O1692" s="541"/>
      <c r="P1692" s="419"/>
      <c r="Q1692" s="419"/>
      <c r="R1692" s="414"/>
      <c r="S1692" s="414" t="str">
        <f>UPPER(D1692)</f>
        <v>TOTAL ITEM 29.2</v>
      </c>
      <c r="T1692" s="414"/>
      <c r="U1692" s="414"/>
      <c r="V1692" s="414"/>
      <c r="W1692" s="414"/>
      <c r="X1692" s="414"/>
      <c r="Y1692" s="414"/>
      <c r="Z1692" s="414"/>
      <c r="AA1692" s="414"/>
      <c r="AB1692" s="414"/>
      <c r="AC1692" s="414"/>
      <c r="AD1692" s="414"/>
      <c r="AE1692" s="414"/>
      <c r="AF1692" s="414"/>
      <c r="AG1692" s="414"/>
      <c r="AH1692" s="414"/>
      <c r="AI1692" s="414"/>
      <c r="AJ1692" s="414"/>
      <c r="AK1692" s="414"/>
    </row>
    <row r="1693" spans="1:37">
      <c r="A1693" s="296"/>
      <c r="B1693" s="44"/>
      <c r="C1693" s="44"/>
      <c r="D1693" s="438"/>
      <c r="E1693" s="296"/>
      <c r="F1693" s="44"/>
      <c r="G1693" s="302"/>
      <c r="H1693" s="339"/>
      <c r="I1693" s="44"/>
      <c r="J1693" s="44"/>
      <c r="K1693" s="383"/>
      <c r="L1693" s="474"/>
      <c r="M1693" s="471"/>
      <c r="N1693" s="405"/>
      <c r="O1693" s="541"/>
      <c r="P1693" s="405"/>
      <c r="Q1693" s="405"/>
    </row>
    <row r="1694" spans="1:37" s="450" customFormat="1">
      <c r="A1694" s="445">
        <v>31</v>
      </c>
      <c r="B1694" s="446"/>
      <c r="C1694" s="447"/>
      <c r="D1694" s="448" t="s">
        <v>1982</v>
      </c>
      <c r="E1694" s="453" t="s">
        <v>76</v>
      </c>
      <c r="F1694" s="446"/>
      <c r="G1694" s="446"/>
      <c r="H1694" s="446"/>
      <c r="I1694" s="446"/>
      <c r="J1694" s="446"/>
      <c r="K1694" s="473"/>
      <c r="L1694" s="478"/>
      <c r="M1694" s="479"/>
      <c r="N1694" s="454"/>
      <c r="O1694" s="541"/>
      <c r="P1694" s="454"/>
      <c r="Q1694" s="454"/>
      <c r="S1694" s="450" t="str">
        <f t="shared" ref="S1694:S1705" si="216">UPPER(D1694)</f>
        <v>PORTARIA</v>
      </c>
    </row>
    <row r="1695" spans="1:37" s="450" customFormat="1" hidden="1">
      <c r="A1695" s="445" t="s">
        <v>22</v>
      </c>
      <c r="B1695" s="446"/>
      <c r="C1695" s="447"/>
      <c r="D1695" s="448" t="s">
        <v>1982</v>
      </c>
      <c r="E1695" s="453" t="s">
        <v>76</v>
      </c>
      <c r="F1695" s="446"/>
      <c r="G1695" s="446"/>
      <c r="H1695" s="446"/>
      <c r="I1695" s="446"/>
      <c r="J1695" s="446"/>
      <c r="K1695" s="473"/>
      <c r="L1695" s="478"/>
      <c r="M1695" s="479"/>
      <c r="N1695" s="454"/>
      <c r="O1695" s="541"/>
      <c r="P1695" s="454"/>
      <c r="Q1695" s="454"/>
      <c r="S1695" s="450" t="str">
        <f t="shared" si="216"/>
        <v>PORTARIA</v>
      </c>
    </row>
    <row r="1696" spans="1:37" s="344" customFormat="1" hidden="1">
      <c r="A1696" s="45">
        <v>1</v>
      </c>
      <c r="B1696" s="25"/>
      <c r="C1696" s="45"/>
      <c r="D1696" s="399" t="s">
        <v>2038</v>
      </c>
      <c r="E1696" s="24" t="s">
        <v>76</v>
      </c>
      <c r="F1696" s="21"/>
      <c r="G1696" s="9"/>
      <c r="H1696" s="9"/>
      <c r="I1696" s="9"/>
      <c r="J1696" s="9"/>
      <c r="K1696" s="383"/>
      <c r="L1696" s="474"/>
      <c r="M1696" s="471"/>
      <c r="N1696" s="405"/>
      <c r="O1696" s="541"/>
      <c r="P1696" s="405"/>
      <c r="Q1696" s="405"/>
      <c r="S1696" s="344" t="str">
        <f t="shared" si="216"/>
        <v>MOVIMENTO DE TERRA</v>
      </c>
    </row>
    <row r="1697" spans="1:19" s="414" customFormat="1" hidden="1">
      <c r="A1697" s="410" t="s">
        <v>20</v>
      </c>
      <c r="B1697" s="411"/>
      <c r="C1697" s="410"/>
      <c r="D1697" s="434" t="s">
        <v>2041</v>
      </c>
      <c r="E1697" s="424" t="s">
        <v>76</v>
      </c>
      <c r="F1697" s="422"/>
      <c r="G1697" s="412"/>
      <c r="H1697" s="412"/>
      <c r="I1697" s="412"/>
      <c r="J1697" s="412"/>
      <c r="K1697" s="498"/>
      <c r="L1697" s="474"/>
      <c r="M1697" s="471"/>
      <c r="N1697" s="419"/>
      <c r="O1697" s="541"/>
      <c r="P1697" s="419"/>
      <c r="Q1697" s="419"/>
      <c r="S1697" s="414" t="str">
        <f t="shared" si="216"/>
        <v>ESCAVAÇÃO DE VALAS</v>
      </c>
    </row>
    <row r="1698" spans="1:19" s="414" customFormat="1" hidden="1">
      <c r="A1698" s="410" t="s">
        <v>153</v>
      </c>
      <c r="B1698" s="411"/>
      <c r="C1698" s="410"/>
      <c r="D1698" s="434" t="s">
        <v>2042</v>
      </c>
      <c r="E1698" s="424" t="s">
        <v>76</v>
      </c>
      <c r="F1698" s="422"/>
      <c r="G1698" s="412"/>
      <c r="H1698" s="412"/>
      <c r="I1698" s="412"/>
      <c r="J1698" s="412"/>
      <c r="K1698" s="498"/>
      <c r="L1698" s="474"/>
      <c r="M1698" s="471"/>
      <c r="N1698" s="419"/>
      <c r="O1698" s="541"/>
      <c r="P1698" s="419"/>
      <c r="Q1698" s="419"/>
      <c r="S1698" s="414" t="str">
        <f t="shared" si="216"/>
        <v>ESCAVAÇÃO MECÂNICA DE CAVAS</v>
      </c>
    </row>
    <row r="1699" spans="1:19" s="344" customFormat="1" ht="27.75" hidden="1" customHeight="1">
      <c r="A1699" s="49" t="s">
        <v>152</v>
      </c>
      <c r="B1699" s="49" t="str">
        <f>'[3]Plan Tron'!B6</f>
        <v xml:space="preserve">74151/001 </v>
      </c>
      <c r="C1699" s="49" t="str">
        <f>'[3]Plan Tron'!C6</f>
        <v>SINAPI</v>
      </c>
      <c r="D1699" s="614" t="str">
        <f>'[3]Plan Tron'!D6</f>
        <v>ESCAVACAO E CARGA MATERIAL 1A CATEGORIA, UTILIZANDO TRATOR DE ESTEIRAS DE 110 A 160HP COM LAMINA, PESO OPERACIONAL * 13T E PA CARREGADEIRA COM 170 HP.</v>
      </c>
      <c r="E1699" s="49" t="str">
        <f>'[3]Plan Tron'!E6</f>
        <v>M³</v>
      </c>
      <c r="F1699" s="21">
        <v>44.05</v>
      </c>
      <c r="G1699" s="9">
        <v>10.220000000000001</v>
      </c>
      <c r="H1699" s="9">
        <f>'[3]Plan Tron'!F6</f>
        <v>3.37</v>
      </c>
      <c r="I1699" s="9">
        <v>26.44</v>
      </c>
      <c r="J1699" s="9">
        <f>ROUND(H1699*(I1699/100+1),2)</f>
        <v>4.26</v>
      </c>
      <c r="K1699" s="383">
        <v>44.05</v>
      </c>
      <c r="L1699" s="474">
        <f>F1699-K1699</f>
        <v>0</v>
      </c>
      <c r="M1699" s="471">
        <f t="shared" ref="M1699:M1759" si="217">ROUND(L1699*J1699,2)</f>
        <v>0</v>
      </c>
      <c r="N1699" s="405"/>
      <c r="O1699" s="541"/>
      <c r="P1699" s="405"/>
      <c r="Q1699" s="405"/>
      <c r="S1699" s="344" t="str">
        <f t="shared" si="216"/>
        <v>ESCAVACAO E CARGA MATERIAL 1A CATEGORIA, UTILIZANDO TRATOR DE ESTEIRAS DE 110 A 160HP COM LAMINA, PESO OPERACIONAL * 13T E PA CARREGADEIRA COM 170 HP.</v>
      </c>
    </row>
    <row r="1700" spans="1:19" s="414" customFormat="1" hidden="1">
      <c r="A1700" s="410" t="s">
        <v>19</v>
      </c>
      <c r="B1700" s="411"/>
      <c r="C1700" s="410"/>
      <c r="D1700" s="434" t="s">
        <v>2111</v>
      </c>
      <c r="E1700" s="424" t="s">
        <v>76</v>
      </c>
      <c r="F1700" s="422"/>
      <c r="G1700" s="412"/>
      <c r="H1700" s="412"/>
      <c r="I1700" s="412"/>
      <c r="J1700" s="412"/>
      <c r="K1700" s="498"/>
      <c r="L1700" s="474"/>
      <c r="M1700" s="471"/>
      <c r="N1700" s="419"/>
      <c r="O1700" s="541"/>
      <c r="P1700" s="419"/>
      <c r="Q1700" s="419"/>
      <c r="S1700" s="414" t="str">
        <f t="shared" si="216"/>
        <v>ATERRO / REATERRO DE VALAS COM OU S/ COMPACTAÇÃO.</v>
      </c>
    </row>
    <row r="1701" spans="1:19" s="414" customFormat="1" hidden="1">
      <c r="A1701" s="410" t="s">
        <v>147</v>
      </c>
      <c r="B1701" s="411"/>
      <c r="C1701" s="410"/>
      <c r="D1701" s="434" t="s">
        <v>2045</v>
      </c>
      <c r="E1701" s="424" t="s">
        <v>76</v>
      </c>
      <c r="F1701" s="422"/>
      <c r="G1701" s="412"/>
      <c r="H1701" s="412"/>
      <c r="I1701" s="412"/>
      <c r="J1701" s="412"/>
      <c r="K1701" s="498"/>
      <c r="L1701" s="474"/>
      <c r="M1701" s="471"/>
      <c r="N1701" s="419"/>
      <c r="O1701" s="541"/>
      <c r="P1701" s="419"/>
      <c r="Q1701" s="419"/>
      <c r="S1701" s="414" t="str">
        <f t="shared" si="216"/>
        <v>REATERRO DE VALAS</v>
      </c>
    </row>
    <row r="1702" spans="1:19" s="344" customFormat="1" hidden="1">
      <c r="A1702" s="49" t="s">
        <v>146</v>
      </c>
      <c r="B1702" s="49" t="str">
        <f>'[3]Plan Tron'!B12</f>
        <v xml:space="preserve">73964/006 </v>
      </c>
      <c r="C1702" s="49" t="str">
        <f>'[3]Plan Tron'!C12</f>
        <v>SINAPI</v>
      </c>
      <c r="D1702" s="612" t="str">
        <f>'[3]Plan Tron'!D12</f>
        <v xml:space="preserve">REATERRO DE VALA COM COMPACTAÇÃO MANUAL </v>
      </c>
      <c r="E1702" s="49" t="str">
        <f>'[3]Plan Tron'!E12</f>
        <v>M³</v>
      </c>
      <c r="F1702" s="21">
        <v>35.9</v>
      </c>
      <c r="G1702" s="9">
        <v>20.67</v>
      </c>
      <c r="H1702" s="9">
        <f>'[3]Plan Tron'!F12</f>
        <v>49.62</v>
      </c>
      <c r="I1702" s="9">
        <v>26.44</v>
      </c>
      <c r="J1702" s="9">
        <f>ROUND(H1702*(I1702/100+1),2)</f>
        <v>62.74</v>
      </c>
      <c r="K1702" s="383">
        <v>35.9</v>
      </c>
      <c r="L1702" s="474">
        <f>F1702-K1702</f>
        <v>0</v>
      </c>
      <c r="M1702" s="471">
        <f t="shared" si="217"/>
        <v>0</v>
      </c>
      <c r="N1702" s="405"/>
      <c r="O1702" s="541"/>
      <c r="P1702" s="405"/>
      <c r="Q1702" s="405"/>
      <c r="S1702" s="344" t="str">
        <f t="shared" si="216"/>
        <v xml:space="preserve">REATERRO DE VALA COM COMPACTAÇÃO MANUAL </v>
      </c>
    </row>
    <row r="1703" spans="1:19" s="414" customFormat="1" hidden="1">
      <c r="A1703" s="410" t="s">
        <v>18</v>
      </c>
      <c r="B1703" s="411"/>
      <c r="C1703" s="410"/>
      <c r="D1703" s="434" t="s">
        <v>2046</v>
      </c>
      <c r="E1703" s="424" t="s">
        <v>76</v>
      </c>
      <c r="F1703" s="422"/>
      <c r="G1703" s="412"/>
      <c r="H1703" s="412"/>
      <c r="I1703" s="412"/>
      <c r="J1703" s="412"/>
      <c r="K1703" s="498"/>
      <c r="L1703" s="474"/>
      <c r="M1703" s="471"/>
      <c r="N1703" s="419"/>
      <c r="O1703" s="541"/>
      <c r="P1703" s="419"/>
      <c r="Q1703" s="419"/>
      <c r="S1703" s="414" t="str">
        <f t="shared" si="216"/>
        <v>CARGA, DESCARGA E/OU TRANSPORTE DE MATERIAIS</v>
      </c>
    </row>
    <row r="1704" spans="1:19" s="344" customFormat="1" hidden="1">
      <c r="A1704" s="49" t="s">
        <v>201</v>
      </c>
      <c r="B1704" s="49">
        <f>'[3]Plan Tron'!B13</f>
        <v>72885</v>
      </c>
      <c r="C1704" s="49" t="str">
        <f>'[3]Plan Tron'!C13</f>
        <v>SINAPI</v>
      </c>
      <c r="D1704" s="645" t="str">
        <f>'[3]Plan Tron'!D13</f>
        <v>TRANSPORTE COMERCIAL COM CAMINHAO BASCULANTE 6 M3, RODOVIA EM LEITO NATURAL</v>
      </c>
      <c r="E1704" s="24" t="str">
        <f>'[3]Plan Tron'!E13</f>
        <v>M³ X KM</v>
      </c>
      <c r="F1704" s="21">
        <v>40.770000000000003</v>
      </c>
      <c r="G1704" s="9">
        <v>1.03</v>
      </c>
      <c r="H1704" s="9">
        <f>'[3]Plan Tron'!F13</f>
        <v>1.37</v>
      </c>
      <c r="I1704" s="9">
        <v>26.44</v>
      </c>
      <c r="J1704" s="9">
        <f>ROUND(H1704*(I1704/100+1),2)</f>
        <v>1.73</v>
      </c>
      <c r="K1704" s="383">
        <v>40.770000000000003</v>
      </c>
      <c r="L1704" s="474">
        <f>F1704-K1704</f>
        <v>0</v>
      </c>
      <c r="M1704" s="471">
        <f t="shared" si="217"/>
        <v>0</v>
      </c>
      <c r="N1704" s="405"/>
      <c r="O1704" s="541"/>
      <c r="P1704" s="405"/>
      <c r="Q1704" s="405"/>
      <c r="S1704" s="344" t="str">
        <f t="shared" si="216"/>
        <v>TRANSPORTE COMERCIAL COM CAMINHAO BASCULANTE 6 M3, RODOVIA EM LEITO NATURAL</v>
      </c>
    </row>
    <row r="1705" spans="1:19" s="344" customFormat="1" ht="25.5" hidden="1">
      <c r="A1705" s="49" t="s">
        <v>198</v>
      </c>
      <c r="B1705" s="49">
        <f>'[3]Plan Tron'!B14</f>
        <v>72888</v>
      </c>
      <c r="C1705" s="49" t="str">
        <f>'[3]Plan Tron'!C14</f>
        <v>SINAPI</v>
      </c>
      <c r="D1705" s="84" t="str">
        <f>'[3]Plan Tron'!D14</f>
        <v>CARGA, MANOBRAS E DESCARGA DE AREIA, BRITA, PEDRA DE MAO E SOLOS COM CAMINHAO BASCULANTE 6 M3 (DESCARGA LIVRE)</v>
      </c>
      <c r="E1705" s="24" t="str">
        <f>'[3]Plan Tron'!E14</f>
        <v>M³</v>
      </c>
      <c r="F1705" s="21">
        <v>8.15</v>
      </c>
      <c r="G1705" s="9">
        <v>0.81</v>
      </c>
      <c r="H1705" s="9">
        <f>'[3]Plan Tron'!F14</f>
        <v>0.96</v>
      </c>
      <c r="I1705" s="9">
        <v>26.44</v>
      </c>
      <c r="J1705" s="9">
        <f>ROUND(H1705*(I1705/100+1),2)</f>
        <v>1.21</v>
      </c>
      <c r="K1705" s="383">
        <v>8.15</v>
      </c>
      <c r="L1705" s="474">
        <f>F1705-K1705</f>
        <v>0</v>
      </c>
      <c r="M1705" s="471">
        <f t="shared" si="217"/>
        <v>0</v>
      </c>
      <c r="N1705" s="405"/>
      <c r="O1705" s="541"/>
      <c r="P1705" s="405"/>
      <c r="Q1705" s="405"/>
      <c r="S1705" s="344" t="str">
        <f t="shared" si="216"/>
        <v>CARGA, MANOBRAS E DESCARGA DE AREIA, BRITA, PEDRA DE MAO E SOLOS COM CAMINHAO BASCULANTE 6 M3 (DESCARGA LIVRE)</v>
      </c>
    </row>
    <row r="1706" spans="1:19" s="344" customFormat="1">
      <c r="A1706" s="49"/>
      <c r="B1706" s="17"/>
      <c r="C1706" s="49"/>
      <c r="D1706" s="17"/>
      <c r="E1706" s="7"/>
      <c r="F1706" s="10"/>
      <c r="G1706" s="27"/>
      <c r="H1706" s="27"/>
      <c r="I1706" s="9"/>
      <c r="J1706" s="9"/>
      <c r="K1706" s="17"/>
      <c r="L1706" s="474"/>
      <c r="M1706" s="471"/>
      <c r="N1706" s="405"/>
      <c r="O1706" s="541"/>
      <c r="P1706" s="405"/>
      <c r="Q1706" s="405"/>
    </row>
    <row r="1707" spans="1:19" s="344" customFormat="1">
      <c r="A1707" s="49"/>
      <c r="B1707" s="17"/>
      <c r="C1707" s="49"/>
      <c r="D1707" s="53" t="s">
        <v>76</v>
      </c>
      <c r="E1707" s="7" t="s">
        <v>76</v>
      </c>
      <c r="F1707" s="10"/>
      <c r="G1707" s="27"/>
      <c r="H1707" s="27"/>
      <c r="I1707" s="9"/>
      <c r="J1707" s="9"/>
      <c r="K1707" s="383"/>
      <c r="L1707" s="474"/>
      <c r="M1707" s="471"/>
      <c r="N1707" s="405"/>
      <c r="O1707" s="541"/>
      <c r="P1707" s="405"/>
      <c r="Q1707" s="405"/>
      <c r="S1707" s="344" t="str">
        <f t="shared" ref="S1707:S1726" si="218">UPPER(D1707)</f>
        <v/>
      </c>
    </row>
    <row r="1708" spans="1:19" s="344" customFormat="1">
      <c r="A1708" s="45">
        <v>2</v>
      </c>
      <c r="B1708" s="23"/>
      <c r="C1708" s="45"/>
      <c r="D1708" s="399" t="s">
        <v>2054</v>
      </c>
      <c r="E1708" s="24" t="s">
        <v>76</v>
      </c>
      <c r="F1708" s="21"/>
      <c r="G1708" s="9"/>
      <c r="H1708" s="9"/>
      <c r="I1708" s="9"/>
      <c r="J1708" s="9"/>
      <c r="K1708" s="383"/>
      <c r="L1708" s="474"/>
      <c r="M1708" s="471"/>
      <c r="N1708" s="405"/>
      <c r="O1708" s="541"/>
      <c r="P1708" s="405"/>
      <c r="Q1708" s="405"/>
      <c r="S1708" s="344" t="str">
        <f t="shared" si="218"/>
        <v>FUNDAÇÕES E ESTRUTURAS</v>
      </c>
    </row>
    <row r="1709" spans="1:19" s="414" customFormat="1">
      <c r="A1709" s="410" t="s">
        <v>9</v>
      </c>
      <c r="B1709" s="425"/>
      <c r="C1709" s="410"/>
      <c r="D1709" s="426" t="s">
        <v>2055</v>
      </c>
      <c r="E1709" s="640" t="s">
        <v>76</v>
      </c>
      <c r="F1709" s="423"/>
      <c r="G1709" s="423"/>
      <c r="H1709" s="423"/>
      <c r="I1709" s="412"/>
      <c r="J1709" s="412"/>
      <c r="K1709" s="498"/>
      <c r="L1709" s="474"/>
      <c r="M1709" s="471"/>
      <c r="N1709" s="419"/>
      <c r="O1709" s="541"/>
      <c r="P1709" s="419"/>
      <c r="Q1709" s="419"/>
      <c r="S1709" s="414" t="str">
        <f t="shared" si="218"/>
        <v>LASTROS / FUNDAÇÕES DIRETAS</v>
      </c>
    </row>
    <row r="1710" spans="1:19" s="414" customFormat="1" hidden="1">
      <c r="A1710" s="410" t="s">
        <v>348</v>
      </c>
      <c r="B1710" s="425"/>
      <c r="C1710" s="410"/>
      <c r="D1710" s="426" t="s">
        <v>2056</v>
      </c>
      <c r="E1710" s="424" t="s">
        <v>76</v>
      </c>
      <c r="F1710" s="422"/>
      <c r="G1710" s="412"/>
      <c r="H1710" s="412"/>
      <c r="I1710" s="412"/>
      <c r="J1710" s="412"/>
      <c r="K1710" s="498"/>
      <c r="L1710" s="474"/>
      <c r="M1710" s="471"/>
      <c r="N1710" s="419"/>
      <c r="O1710" s="541"/>
      <c r="P1710" s="419"/>
      <c r="Q1710" s="419"/>
      <c r="S1710" s="414" t="str">
        <f t="shared" si="218"/>
        <v>LASTRO DE PEDRA BRITADA E FUNDAÇÕES EM BALDRAME.</v>
      </c>
    </row>
    <row r="1711" spans="1:19" s="344" customFormat="1" hidden="1">
      <c r="A1711" s="49" t="s">
        <v>417</v>
      </c>
      <c r="B1711" s="49">
        <f>'[3]Plan Tron'!B18</f>
        <v>6514</v>
      </c>
      <c r="C1711" s="49" t="str">
        <f>'[3]Plan Tron'!C18</f>
        <v>SINAPI</v>
      </c>
      <c r="D1711" s="612" t="str">
        <f>'[3]Plan Tron'!D18</f>
        <v xml:space="preserve">FORNECIMENTO E LANCAMENTO DE BRITA N. 4 </v>
      </c>
      <c r="E1711" s="49" t="str">
        <f>'[3]Plan Tron'!E18</f>
        <v>M³</v>
      </c>
      <c r="F1711" s="21">
        <v>1.1200000000000001</v>
      </c>
      <c r="G1711" s="9">
        <f>G78</f>
        <v>74.28</v>
      </c>
      <c r="H1711" s="9">
        <f>'[3]Plan Tron'!F18</f>
        <v>88.38</v>
      </c>
      <c r="I1711" s="9">
        <v>26.44</v>
      </c>
      <c r="J1711" s="9">
        <f>ROUND(H1711*(I1711/100+1),2)</f>
        <v>111.75</v>
      </c>
      <c r="K1711" s="383">
        <v>1.1200000000000001</v>
      </c>
      <c r="L1711" s="474">
        <f>F1711-K1711</f>
        <v>0</v>
      </c>
      <c r="M1711" s="471">
        <f t="shared" si="217"/>
        <v>0</v>
      </c>
      <c r="N1711" s="405"/>
      <c r="O1711" s="541"/>
      <c r="P1711" s="405"/>
      <c r="Q1711" s="405"/>
      <c r="S1711" s="344" t="str">
        <f t="shared" si="218"/>
        <v xml:space="preserve">FORNECIMENTO E LANCAMENTO DE BRITA N. 4 </v>
      </c>
    </row>
    <row r="1712" spans="1:19" s="344" customFormat="1">
      <c r="A1712" s="410" t="s">
        <v>8</v>
      </c>
      <c r="B1712" s="646"/>
      <c r="C1712" s="410"/>
      <c r="D1712" s="647" t="s">
        <v>2058</v>
      </c>
      <c r="E1712" s="32" t="s">
        <v>76</v>
      </c>
      <c r="F1712" s="33"/>
      <c r="G1712" s="9"/>
      <c r="H1712" s="9"/>
      <c r="I1712" s="9"/>
      <c r="J1712" s="9"/>
      <c r="K1712" s="383"/>
      <c r="L1712" s="474"/>
      <c r="M1712" s="471"/>
      <c r="N1712" s="405"/>
      <c r="O1712" s="541"/>
      <c r="P1712" s="405"/>
      <c r="Q1712" s="405"/>
      <c r="S1712" s="344" t="str">
        <f t="shared" si="218"/>
        <v>FORMAS / CIMBRAMENTOS / ESCORAMENTOS</v>
      </c>
    </row>
    <row r="1713" spans="1:19" s="344" customFormat="1" hidden="1">
      <c r="A1713" s="49" t="s">
        <v>317</v>
      </c>
      <c r="B1713" s="49">
        <f>'[3]Plan Tron'!B20</f>
        <v>5651</v>
      </c>
      <c r="C1713" s="49" t="str">
        <f>'[3]Plan Tron'!C20</f>
        <v>SINAPI</v>
      </c>
      <c r="D1713" s="612" t="str">
        <f>'[3]Plan Tron'!D20</f>
        <v>FORMA DE MADEIRA COMUM PARA FUNDAÇÕES - REAPROVEITAMENTO 5X.</v>
      </c>
      <c r="E1713" s="49" t="str">
        <f>'[3]Plan Tron'!E20</f>
        <v>M²</v>
      </c>
      <c r="F1713" s="21">
        <v>16.809999999999999</v>
      </c>
      <c r="G1713" s="9">
        <v>22.96</v>
      </c>
      <c r="H1713" s="9">
        <f>'[3]Plan Tron'!F20</f>
        <v>29.01</v>
      </c>
      <c r="I1713" s="9">
        <v>26.44</v>
      </c>
      <c r="J1713" s="9">
        <f>ROUND(H1713*(I1713/100+1),2)</f>
        <v>36.68</v>
      </c>
      <c r="K1713" s="383">
        <v>16.809999999999999</v>
      </c>
      <c r="L1713" s="474">
        <f>F1713-K1713</f>
        <v>0</v>
      </c>
      <c r="M1713" s="471">
        <f t="shared" si="217"/>
        <v>0</v>
      </c>
      <c r="N1713" s="405"/>
      <c r="O1713" s="541"/>
      <c r="P1713" s="405"/>
      <c r="Q1713" s="405"/>
      <c r="S1713" s="344" t="str">
        <f t="shared" si="218"/>
        <v>FORMA DE MADEIRA COMUM PARA FUNDAÇÕES - REAPROVEITAMENTO 5X.</v>
      </c>
    </row>
    <row r="1714" spans="1:19" s="344" customFormat="1">
      <c r="A1714" s="49" t="s">
        <v>316</v>
      </c>
      <c r="B1714" s="49" t="str">
        <f>'[3]Plan Tron'!B66</f>
        <v xml:space="preserve">080202 </v>
      </c>
      <c r="C1714" s="49" t="str">
        <f>'[3]Plan Tron'!C66</f>
        <v>CPOS</v>
      </c>
      <c r="D1714" s="612" t="str">
        <f>'[3]Plan Tron'!D66</f>
        <v>CIMBRAMENTO EM MADEIRA COM ESTRONCAS DE EUCALIPTO</v>
      </c>
      <c r="E1714" s="49" t="str">
        <f>'[3]Plan Tron'!E66</f>
        <v>M³</v>
      </c>
      <c r="F1714" s="21">
        <v>29.12</v>
      </c>
      <c r="G1714" s="9">
        <v>25.02</v>
      </c>
      <c r="H1714" s="9">
        <f>'[3]Plan Tron'!F66</f>
        <v>27.46</v>
      </c>
      <c r="I1714" s="9">
        <v>26.44</v>
      </c>
      <c r="J1714" s="9">
        <f>ROUND(H1714*(I1714/100+1),2)</f>
        <v>34.72</v>
      </c>
      <c r="K1714" s="383"/>
      <c r="L1714" s="474">
        <f>F1714-K1714</f>
        <v>29.12</v>
      </c>
      <c r="M1714" s="471">
        <f t="shared" si="217"/>
        <v>1011.05</v>
      </c>
      <c r="N1714" s="405"/>
      <c r="O1714" s="541"/>
      <c r="P1714" s="405"/>
      <c r="Q1714" s="405"/>
      <c r="S1714" s="344" t="str">
        <f t="shared" si="218"/>
        <v>CIMBRAMENTO EM MADEIRA COM ESTRONCAS DE EUCALIPTO</v>
      </c>
    </row>
    <row r="1715" spans="1:19" s="414" customFormat="1">
      <c r="A1715" s="410" t="s">
        <v>7</v>
      </c>
      <c r="B1715" s="425"/>
      <c r="C1715" s="410"/>
      <c r="D1715" s="426" t="s">
        <v>2059</v>
      </c>
      <c r="E1715" s="421"/>
      <c r="F1715" s="423"/>
      <c r="G1715" s="412"/>
      <c r="H1715" s="412"/>
      <c r="I1715" s="412"/>
      <c r="J1715" s="412"/>
      <c r="K1715" s="498"/>
      <c r="L1715" s="474"/>
      <c r="M1715" s="471"/>
      <c r="N1715" s="419"/>
      <c r="O1715" s="541"/>
      <c r="P1715" s="419"/>
      <c r="Q1715" s="419"/>
      <c r="S1715" s="414" t="str">
        <f t="shared" si="218"/>
        <v>ARMADURAS</v>
      </c>
    </row>
    <row r="1716" spans="1:19" s="414" customFormat="1">
      <c r="A1716" s="410" t="s">
        <v>314</v>
      </c>
      <c r="B1716" s="425"/>
      <c r="C1716" s="410"/>
      <c r="D1716" s="426" t="s">
        <v>2171</v>
      </c>
      <c r="E1716" s="421"/>
      <c r="F1716" s="623"/>
      <c r="G1716" s="412"/>
      <c r="H1716" s="412"/>
      <c r="I1716" s="412"/>
      <c r="J1716" s="412"/>
      <c r="K1716" s="498"/>
      <c r="L1716" s="474"/>
      <c r="M1716" s="471"/>
      <c r="N1716" s="419"/>
      <c r="O1716" s="541"/>
      <c r="P1716" s="419"/>
      <c r="Q1716" s="419"/>
      <c r="S1716" s="414" t="str">
        <f t="shared" si="218"/>
        <v>ARMAÇÃO EM TELA SOLDADA</v>
      </c>
    </row>
    <row r="1717" spans="1:19" s="344" customFormat="1" hidden="1">
      <c r="A1717" s="49" t="s">
        <v>313</v>
      </c>
      <c r="B1717" s="49" t="str">
        <f>'[3]Plan Tron'!B106</f>
        <v xml:space="preserve">73994/001 </v>
      </c>
      <c r="C1717" s="49" t="str">
        <f>'[3]Plan Tron'!C106</f>
        <v>SINAPI</v>
      </c>
      <c r="D1717" s="612" t="str">
        <f>'[3]Plan Tron'!D106</f>
        <v>ARMACAO EM TELA DE ACO SOLDADA NERVURADA Q-138, ACO CA-60, 4,2MM, MALHA 10X10CM</v>
      </c>
      <c r="E1717" s="49" t="str">
        <f>'[3]Plan Tron'!E106</f>
        <v>KG</v>
      </c>
      <c r="F1717" s="21">
        <v>63.8</v>
      </c>
      <c r="G1717" s="9">
        <v>6.1</v>
      </c>
      <c r="H1717" s="9">
        <f>'[3]Plan Tron'!F106</f>
        <v>5.97</v>
      </c>
      <c r="I1717" s="9">
        <v>26.44</v>
      </c>
      <c r="J1717" s="9">
        <f>ROUND(H1717*(I1717/100+1),2)</f>
        <v>7.55</v>
      </c>
      <c r="K1717" s="383">
        <v>63.8</v>
      </c>
      <c r="L1717" s="474">
        <f>F1717-K1717</f>
        <v>0</v>
      </c>
      <c r="M1717" s="471">
        <f t="shared" si="217"/>
        <v>0</v>
      </c>
      <c r="N1717" s="405"/>
      <c r="O1717" s="541"/>
      <c r="P1717" s="405"/>
      <c r="Q1717" s="405"/>
      <c r="S1717" s="344" t="str">
        <f t="shared" si="218"/>
        <v>ARMACAO EM TELA DE ACO SOLDADA NERVURADA Q-138, ACO CA-60, 4,2MM, MALHA 10X10CM</v>
      </c>
    </row>
    <row r="1718" spans="1:19" s="414" customFormat="1">
      <c r="A1718" s="410" t="s">
        <v>347</v>
      </c>
      <c r="B1718" s="425"/>
      <c r="C1718" s="410"/>
      <c r="D1718" s="426" t="s">
        <v>2060</v>
      </c>
      <c r="E1718" s="421"/>
      <c r="F1718" s="623"/>
      <c r="G1718" s="412"/>
      <c r="H1718" s="412"/>
      <c r="I1718" s="412"/>
      <c r="J1718" s="412"/>
      <c r="K1718" s="498"/>
      <c r="L1718" s="474"/>
      <c r="M1718" s="471"/>
      <c r="N1718" s="419"/>
      <c r="O1718" s="541"/>
      <c r="P1718" s="419"/>
      <c r="Q1718" s="419"/>
      <c r="S1718" s="414" t="str">
        <f t="shared" si="218"/>
        <v>ARMAÇÃO EM AÇO CA-50 PARA ESTRUTURAS DE CONCRETO.</v>
      </c>
    </row>
    <row r="1719" spans="1:19" s="344" customFormat="1" ht="25.5">
      <c r="A1719" s="49" t="s">
        <v>1273</v>
      </c>
      <c r="B1719" s="49">
        <f>'[3]Plan Tron'!B21</f>
        <v>92761</v>
      </c>
      <c r="C1719" s="49" t="str">
        <f>'[3]Plan Tron'!C21</f>
        <v>SINAPI</v>
      </c>
      <c r="D1719" s="614" t="str">
        <f>'[3]Plan Tron'!D21</f>
        <v>ARMAÇÃO DE PILAR OU VIGA DE UMA ESTRUTURA CONVENCIONAL DE CONCRETO ARMADO EM UM EDIFÍCIO DE MÚLTIPLOS PAVIMENTOS UTILIZANDO AÇO CA-50 DE 8.0MM - MONTAGEM. AF_12/2015</v>
      </c>
      <c r="E1719" s="49" t="str">
        <f>'[3]Plan Tron'!E21</f>
        <v>KG</v>
      </c>
      <c r="F1719" s="21">
        <v>356</v>
      </c>
      <c r="G1719" s="9">
        <f>G85</f>
        <v>5.9</v>
      </c>
      <c r="H1719" s="9">
        <f>'[3]Plan Tron'!F21</f>
        <v>9.44</v>
      </c>
      <c r="I1719" s="9">
        <v>26.44</v>
      </c>
      <c r="J1719" s="9">
        <f>ROUND(H1719*(I1719/100+1),2)</f>
        <v>11.94</v>
      </c>
      <c r="K1719" s="383">
        <v>284.8</v>
      </c>
      <c r="L1719" s="474">
        <f>F1719-K1719</f>
        <v>71.199999999999989</v>
      </c>
      <c r="M1719" s="471">
        <f t="shared" si="217"/>
        <v>850.13</v>
      </c>
      <c r="N1719" s="405"/>
      <c r="O1719" s="541"/>
      <c r="P1719" s="405"/>
      <c r="Q1719" s="405"/>
      <c r="S1719" s="344" t="str">
        <f t="shared" si="218"/>
        <v>ARMAÇÃO DE PILAR OU VIGA DE UMA ESTRUTURA CONVENCIONAL DE CONCRETO ARMADO EM UM EDIFÍCIO DE MÚLTIPLOS PAVIMENTOS UTILIZANDO AÇO CA-50 DE 8.0MM - MONTAGEM. AF_12/2015</v>
      </c>
    </row>
    <row r="1720" spans="1:19" s="414" customFormat="1">
      <c r="A1720" s="410" t="s">
        <v>6</v>
      </c>
      <c r="B1720" s="646"/>
      <c r="C1720" s="410"/>
      <c r="D1720" s="647" t="s">
        <v>2061</v>
      </c>
      <c r="E1720" s="648"/>
      <c r="F1720" s="649"/>
      <c r="G1720" s="412"/>
      <c r="H1720" s="412"/>
      <c r="I1720" s="412"/>
      <c r="J1720" s="412"/>
      <c r="K1720" s="498"/>
      <c r="L1720" s="474"/>
      <c r="M1720" s="471"/>
      <c r="N1720" s="419"/>
      <c r="O1720" s="541"/>
      <c r="P1720" s="419"/>
      <c r="Q1720" s="419"/>
      <c r="S1720" s="414" t="str">
        <f t="shared" si="218"/>
        <v>CONCRETOS</v>
      </c>
    </row>
    <row r="1721" spans="1:19" s="344" customFormat="1">
      <c r="A1721" s="49" t="s">
        <v>311</v>
      </c>
      <c r="B1721" s="49">
        <f>'[3]Plan Tron'!B23</f>
        <v>110404</v>
      </c>
      <c r="C1721" s="49" t="str">
        <f>'[3]Plan Tron'!C23</f>
        <v>CPOS</v>
      </c>
      <c r="D1721" s="612" t="str">
        <f>UPPER('[3]Plan Tron'!D23)</f>
        <v>CONCRETO NÃO ESTRUTURAL EXECUTADO NO LOCAL, MÍNIMO 200 KG CIMENTO / M³</v>
      </c>
      <c r="E1721" s="49" t="str">
        <f>'[3]Plan Tron'!E23</f>
        <v>M³</v>
      </c>
      <c r="F1721" s="21">
        <v>2.96</v>
      </c>
      <c r="G1721" s="9">
        <v>238.25</v>
      </c>
      <c r="H1721" s="9">
        <f>'[3]Plan Tron'!F23</f>
        <v>231.91</v>
      </c>
      <c r="I1721" s="9">
        <v>26.44</v>
      </c>
      <c r="J1721" s="9">
        <f>ROUND(H1721*(I1721/100+1),2)</f>
        <v>293.23</v>
      </c>
      <c r="K1721" s="383">
        <v>0.86</v>
      </c>
      <c r="L1721" s="474">
        <f>F1721-K1721</f>
        <v>2.1</v>
      </c>
      <c r="M1721" s="471">
        <f t="shared" si="217"/>
        <v>615.78</v>
      </c>
      <c r="N1721" s="405"/>
      <c r="O1721" s="541"/>
      <c r="P1721" s="405"/>
      <c r="Q1721" s="405"/>
      <c r="S1721" s="344" t="str">
        <f t="shared" si="218"/>
        <v>CONCRETO NÃO ESTRUTURAL EXECUTADO NO LOCAL, MÍNIMO 200 KG CIMENTO / M³</v>
      </c>
    </row>
    <row r="1722" spans="1:19" s="414" customFormat="1">
      <c r="A1722" s="410" t="s">
        <v>710</v>
      </c>
      <c r="B1722" s="425"/>
      <c r="C1722" s="410"/>
      <c r="D1722" s="426" t="s">
        <v>2062</v>
      </c>
      <c r="E1722" s="421"/>
      <c r="F1722" s="623"/>
      <c r="G1722" s="412"/>
      <c r="H1722" s="412"/>
      <c r="I1722" s="412"/>
      <c r="J1722" s="412"/>
      <c r="K1722" s="498"/>
      <c r="L1722" s="474"/>
      <c r="M1722" s="471"/>
      <c r="N1722" s="419"/>
      <c r="O1722" s="541"/>
      <c r="P1722" s="419"/>
      <c r="Q1722" s="419"/>
      <c r="S1722" s="414" t="str">
        <f t="shared" si="218"/>
        <v>CONCRETO BOMBEADO</v>
      </c>
    </row>
    <row r="1723" spans="1:19" s="344" customFormat="1">
      <c r="A1723" s="49" t="s">
        <v>944</v>
      </c>
      <c r="B1723" s="49">
        <f>'[3]Plan Tron'!B27</f>
        <v>110132</v>
      </c>
      <c r="C1723" s="49" t="str">
        <f>'[3]Plan Tron'!C27</f>
        <v>CPOS</v>
      </c>
      <c r="D1723" s="612" t="str">
        <f>'[3]Plan Tron'!D27</f>
        <v xml:space="preserve">CONCRETO USINADO, FCK=30MPa - PARA BOMBEAMENTO </v>
      </c>
      <c r="E1723" s="49" t="str">
        <f>'[3]Plan Tron'!E27</f>
        <v>M³</v>
      </c>
      <c r="F1723" s="21">
        <v>4.6100000000000003</v>
      </c>
      <c r="G1723" s="9">
        <v>336.65</v>
      </c>
      <c r="H1723" s="9">
        <f>'[3]Plan Tron'!F27</f>
        <v>311.94</v>
      </c>
      <c r="I1723" s="9">
        <v>26.44</v>
      </c>
      <c r="J1723" s="9">
        <f>ROUND(H1723*(I1723/100+1),2)</f>
        <v>394.42</v>
      </c>
      <c r="K1723" s="383">
        <v>3.6880000000000006</v>
      </c>
      <c r="L1723" s="474">
        <f>F1723-K1723</f>
        <v>0.92199999999999971</v>
      </c>
      <c r="M1723" s="471">
        <f t="shared" si="217"/>
        <v>363.66</v>
      </c>
      <c r="N1723" s="405"/>
      <c r="O1723" s="541"/>
      <c r="P1723" s="405"/>
      <c r="Q1723" s="405"/>
      <c r="S1723" s="344" t="str">
        <f t="shared" si="218"/>
        <v xml:space="preserve">CONCRETO USINADO, FCK=30MPA - PARA BOMBEAMENTO </v>
      </c>
    </row>
    <row r="1724" spans="1:19" s="414" customFormat="1">
      <c r="A1724" s="410" t="s">
        <v>5</v>
      </c>
      <c r="B1724" s="425"/>
      <c r="C1724" s="410"/>
      <c r="D1724" s="426" t="s">
        <v>2173</v>
      </c>
      <c r="E1724" s="640"/>
      <c r="F1724" s="422"/>
      <c r="G1724" s="412"/>
      <c r="H1724" s="412"/>
      <c r="I1724" s="412"/>
      <c r="J1724" s="412"/>
      <c r="K1724" s="498"/>
      <c r="L1724" s="474"/>
      <c r="M1724" s="471"/>
      <c r="N1724" s="419"/>
      <c r="O1724" s="541"/>
      <c r="P1724" s="419"/>
      <c r="Q1724" s="419"/>
      <c r="S1724" s="414" t="str">
        <f t="shared" si="218"/>
        <v>LAJE PRÉ-FABRICADA</v>
      </c>
    </row>
    <row r="1725" spans="1:19" s="414" customFormat="1">
      <c r="A1725" s="410" t="s">
        <v>346</v>
      </c>
      <c r="B1725" s="425"/>
      <c r="C1725" s="410"/>
      <c r="D1725" s="426" t="s">
        <v>2174</v>
      </c>
      <c r="E1725" s="640"/>
      <c r="F1725" s="422"/>
      <c r="G1725" s="412"/>
      <c r="H1725" s="412"/>
      <c r="I1725" s="412"/>
      <c r="J1725" s="412"/>
      <c r="K1725" s="498"/>
      <c r="L1725" s="474"/>
      <c r="M1725" s="471"/>
      <c r="N1725" s="419"/>
      <c r="O1725" s="541"/>
      <c r="P1725" s="419"/>
      <c r="Q1725" s="419"/>
      <c r="S1725" s="414" t="str">
        <f t="shared" si="218"/>
        <v>LAJE PRÉ-MOLDADA</v>
      </c>
    </row>
    <row r="1726" spans="1:19" s="344" customFormat="1" ht="25.5">
      <c r="A1726" s="49" t="s">
        <v>345</v>
      </c>
      <c r="B1726" s="49" t="str">
        <f>'[3]Plan Tron'!B156</f>
        <v xml:space="preserve">74202/001 </v>
      </c>
      <c r="C1726" s="49" t="str">
        <f>'[3]Plan Tron'!C156</f>
        <v>SINAPI</v>
      </c>
      <c r="D1726" s="614" t="str">
        <f>'[3]Plan Tron'!D156</f>
        <v>LAJE PRE-MOLDADA P/FORRO, SOBRECARGA 100KG/M2, VAOS ATE 3,50M/E=8CM, C/LAJOTAS E CAP.C/CONC FCK=20MPA, 3CM, INTER-EIXO 38CM, C/ESCORAMENTO (REAPR.3X) E FERRAGEM NEGATIVA</v>
      </c>
      <c r="E1726" s="49" t="str">
        <f>'[3]Plan Tron'!E156</f>
        <v>M²</v>
      </c>
      <c r="F1726" s="21">
        <v>35.36</v>
      </c>
      <c r="G1726" s="9">
        <v>53.41</v>
      </c>
      <c r="H1726" s="9">
        <f>'[3]Plan Tron'!F156</f>
        <v>59.9</v>
      </c>
      <c r="I1726" s="9">
        <v>26.44</v>
      </c>
      <c r="J1726" s="9">
        <f>ROUND(H1726*(I1726/100+1),2)</f>
        <v>75.739999999999995</v>
      </c>
      <c r="K1726" s="383">
        <v>0</v>
      </c>
      <c r="L1726" s="474">
        <f>F1726-K1726</f>
        <v>35.36</v>
      </c>
      <c r="M1726" s="471">
        <f t="shared" si="217"/>
        <v>2678.17</v>
      </c>
      <c r="N1726" s="405"/>
      <c r="O1726" s="541"/>
      <c r="P1726" s="405"/>
      <c r="Q1726" s="405"/>
      <c r="S1726" s="344" t="str">
        <f t="shared" si="218"/>
        <v>LAJE PRE-MOLDADA P/FORRO, SOBRECARGA 100KG/M2, VAOS ATE 3,50M/E=8CM, C/LAJOTAS E CAP.C/CONC FCK=20MPA, 3CM, INTER-EIXO 38CM, C/ESCORAMENTO (REAPR.3X) E FERRAGEM NEGATIVA</v>
      </c>
    </row>
    <row r="1727" spans="1:19" s="344" customFormat="1">
      <c r="A1727" s="49"/>
      <c r="B1727" s="17"/>
      <c r="C1727" s="49"/>
      <c r="D1727" s="17"/>
      <c r="E1727" s="7"/>
      <c r="F1727" s="10"/>
      <c r="G1727" s="27"/>
      <c r="H1727" s="27"/>
      <c r="I1727" s="9"/>
      <c r="J1727" s="9"/>
      <c r="K1727" s="17"/>
      <c r="L1727" s="474"/>
      <c r="M1727" s="471"/>
      <c r="N1727" s="405"/>
      <c r="O1727" s="541"/>
      <c r="P1727" s="405"/>
      <c r="Q1727" s="405"/>
    </row>
    <row r="1728" spans="1:19" s="344" customFormat="1">
      <c r="A1728" s="49"/>
      <c r="B1728" s="17"/>
      <c r="C1728" s="49"/>
      <c r="D1728" s="53" t="s">
        <v>76</v>
      </c>
      <c r="E1728" s="7"/>
      <c r="F1728" s="10"/>
      <c r="G1728" s="27"/>
      <c r="H1728" s="27"/>
      <c r="I1728" s="9"/>
      <c r="J1728" s="9"/>
      <c r="K1728" s="383"/>
      <c r="L1728" s="474"/>
      <c r="M1728" s="471"/>
      <c r="N1728" s="405"/>
      <c r="O1728" s="541"/>
      <c r="P1728" s="405"/>
      <c r="Q1728" s="405"/>
      <c r="S1728" s="344" t="str">
        <f>UPPER(D1728)</f>
        <v/>
      </c>
    </row>
    <row r="1729" spans="1:19" s="344" customFormat="1">
      <c r="A1729" s="45">
        <v>3</v>
      </c>
      <c r="B1729" s="17"/>
      <c r="C1729" s="45"/>
      <c r="D1729" s="53" t="s">
        <v>2067</v>
      </c>
      <c r="E1729" s="7"/>
      <c r="F1729" s="10"/>
      <c r="G1729" s="27"/>
      <c r="H1729" s="27"/>
      <c r="I1729" s="9"/>
      <c r="J1729" s="9"/>
      <c r="K1729" s="383"/>
      <c r="L1729" s="474"/>
      <c r="M1729" s="471"/>
      <c r="N1729" s="405"/>
      <c r="O1729" s="541"/>
      <c r="P1729" s="405"/>
      <c r="Q1729" s="405"/>
      <c r="S1729" s="344" t="str">
        <f>UPPER(D1729)</f>
        <v>PAREDES / PAINÉIS</v>
      </c>
    </row>
    <row r="1730" spans="1:19" s="414" customFormat="1">
      <c r="A1730" s="410" t="s">
        <v>144</v>
      </c>
      <c r="B1730" s="411"/>
      <c r="C1730" s="410"/>
      <c r="D1730" s="429" t="s">
        <v>2068</v>
      </c>
      <c r="E1730" s="617"/>
      <c r="F1730" s="413"/>
      <c r="G1730" s="619"/>
      <c r="H1730" s="619"/>
      <c r="I1730" s="412"/>
      <c r="J1730" s="412"/>
      <c r="K1730" s="498"/>
      <c r="L1730" s="474"/>
      <c r="M1730" s="471"/>
      <c r="N1730" s="419"/>
      <c r="O1730" s="541"/>
      <c r="P1730" s="419"/>
      <c r="Q1730" s="419"/>
      <c r="S1730" s="414" t="str">
        <f>UPPER(D1730)</f>
        <v>ALVENARIA DE BLOCOS DE CONCRETO</v>
      </c>
    </row>
    <row r="1731" spans="1:19" s="414" customFormat="1">
      <c r="A1731" s="410" t="s">
        <v>143</v>
      </c>
      <c r="B1731" s="411"/>
      <c r="C1731" s="410"/>
      <c r="D1731" s="429" t="s">
        <v>2069</v>
      </c>
      <c r="E1731" s="617"/>
      <c r="F1731" s="413"/>
      <c r="G1731" s="619"/>
      <c r="H1731" s="619"/>
      <c r="I1731" s="412"/>
      <c r="J1731" s="412"/>
      <c r="K1731" s="498"/>
      <c r="L1731" s="474"/>
      <c r="M1731" s="471"/>
      <c r="N1731" s="419"/>
      <c r="O1731" s="541"/>
      <c r="P1731" s="419"/>
      <c r="Q1731" s="419"/>
      <c r="S1731" s="414" t="str">
        <f>UPPER(D1731)</f>
        <v>ALVENARIA DE BLOCO DE CONCRETO</v>
      </c>
    </row>
    <row r="1732" spans="1:19" s="344" customFormat="1" hidden="1">
      <c r="A1732" s="49" t="s">
        <v>343</v>
      </c>
      <c r="B1732" s="49">
        <f>'[3]Plan Tron'!B157</f>
        <v>141123</v>
      </c>
      <c r="C1732" s="49" t="str">
        <f>'[3]Plan Tron'!C157</f>
        <v>CPOS</v>
      </c>
      <c r="D1732" s="612" t="str">
        <f>UPPER('[3]Plan Tron'!D157)</f>
        <v>ALVENARIA DE BLOCO DE CONCRETO ESTRUTURAL, USO REVESTIDO, DE 19 CM</v>
      </c>
      <c r="E1732" s="49" t="str">
        <f>'[3]Plan Tron'!E157</f>
        <v>M²</v>
      </c>
      <c r="F1732" s="21">
        <v>113.04</v>
      </c>
      <c r="G1732" s="9">
        <v>65</v>
      </c>
      <c r="H1732" s="9">
        <f>'[3]Plan Tron'!F157</f>
        <v>63.81</v>
      </c>
      <c r="I1732" s="9">
        <v>26.44</v>
      </c>
      <c r="J1732" s="9">
        <f>ROUND(H1732*(I1732/100+1),2)</f>
        <v>80.680000000000007</v>
      </c>
      <c r="K1732" s="474">
        <v>113.03999999999999</v>
      </c>
      <c r="L1732" s="474">
        <f>F1732-K1732</f>
        <v>0</v>
      </c>
      <c r="M1732" s="471">
        <f t="shared" si="217"/>
        <v>0</v>
      </c>
      <c r="N1732" s="405"/>
      <c r="O1732" s="541"/>
      <c r="P1732" s="405"/>
      <c r="Q1732" s="405"/>
      <c r="S1732" s="344" t="str">
        <f>UPPER(D1732)</f>
        <v>ALVENARIA DE BLOCO DE CONCRETO ESTRUTURAL, USO REVESTIDO, DE 19 CM</v>
      </c>
    </row>
    <row r="1733" spans="1:19" s="344" customFormat="1">
      <c r="A1733" s="49"/>
      <c r="B1733" s="17"/>
      <c r="C1733" s="49"/>
      <c r="D1733" s="17"/>
      <c r="E1733" s="7"/>
      <c r="F1733" s="10"/>
      <c r="G1733" s="9"/>
      <c r="H1733" s="9"/>
      <c r="I1733" s="9"/>
      <c r="J1733" s="9"/>
      <c r="K1733" s="17"/>
      <c r="L1733" s="474"/>
      <c r="M1733" s="471"/>
      <c r="N1733" s="405"/>
      <c r="O1733" s="541"/>
      <c r="P1733" s="405"/>
      <c r="Q1733" s="405"/>
    </row>
    <row r="1734" spans="1:19" s="344" customFormat="1">
      <c r="A1734" s="49"/>
      <c r="B1734" s="17"/>
      <c r="C1734" s="49"/>
      <c r="D1734" s="53" t="s">
        <v>76</v>
      </c>
      <c r="E1734" s="7"/>
      <c r="F1734" s="10"/>
      <c r="G1734" s="27"/>
      <c r="H1734" s="27"/>
      <c r="I1734" s="9"/>
      <c r="J1734" s="9"/>
      <c r="K1734" s="383"/>
      <c r="L1734" s="474"/>
      <c r="M1734" s="471"/>
      <c r="N1734" s="405"/>
      <c r="O1734" s="541"/>
      <c r="P1734" s="405"/>
      <c r="Q1734" s="405"/>
      <c r="S1734" s="344" t="str">
        <f>UPPER(D1734)</f>
        <v/>
      </c>
    </row>
    <row r="1735" spans="1:19" s="344" customFormat="1">
      <c r="A1735" s="45">
        <v>4</v>
      </c>
      <c r="B1735" s="17"/>
      <c r="C1735" s="45"/>
      <c r="D1735" s="53" t="s">
        <v>2125</v>
      </c>
      <c r="E1735" s="7"/>
      <c r="F1735" s="10"/>
      <c r="G1735" s="27"/>
      <c r="H1735" s="27"/>
      <c r="I1735" s="9"/>
      <c r="J1735" s="9"/>
      <c r="K1735" s="383"/>
      <c r="L1735" s="474"/>
      <c r="M1735" s="471"/>
      <c r="N1735" s="405"/>
      <c r="O1735" s="541"/>
      <c r="P1735" s="405"/>
      <c r="Q1735" s="405"/>
      <c r="S1735" s="344" t="str">
        <f>UPPER(D1735)</f>
        <v>COBERTURA</v>
      </c>
    </row>
    <row r="1736" spans="1:19" s="414" customFormat="1">
      <c r="A1736" s="410" t="s">
        <v>139</v>
      </c>
      <c r="B1736" s="411"/>
      <c r="C1736" s="410"/>
      <c r="D1736" s="429" t="s">
        <v>2126</v>
      </c>
      <c r="E1736" s="617"/>
      <c r="F1736" s="422"/>
      <c r="G1736" s="619"/>
      <c r="H1736" s="619"/>
      <c r="I1736" s="412"/>
      <c r="J1736" s="412"/>
      <c r="K1736" s="498"/>
      <c r="L1736" s="474"/>
      <c r="M1736" s="471"/>
      <c r="N1736" s="419"/>
      <c r="O1736" s="541"/>
      <c r="P1736" s="419"/>
      <c r="Q1736" s="419"/>
      <c r="S1736" s="414" t="str">
        <f>UPPER(D1736)</f>
        <v>TELHAMENTO COM TELHA DE FIBROCIMENTO</v>
      </c>
    </row>
    <row r="1737" spans="1:19" s="344" customFormat="1" ht="25.5">
      <c r="A1737" s="49" t="s">
        <v>138</v>
      </c>
      <c r="B1737" s="49">
        <f>'[3]Plan Tron'!B85</f>
        <v>94218</v>
      </c>
      <c r="C1737" s="49" t="str">
        <f>'[3]Plan Tron'!C85</f>
        <v>SINAPI</v>
      </c>
      <c r="D1737" s="614" t="str">
        <f>'[3]Plan Tron'!D85</f>
        <v xml:space="preserve"> TELHAMENTO COM TELHA ESTRUTURAL DE FIBROCIMENTO E= 6 MM, COM ATÉ 2 ÁGUAS, INCLUSO IÇAMENTO. AF_06/2016</v>
      </c>
      <c r="E1737" s="49" t="str">
        <f>'[3]Plan Tron'!E85</f>
        <v>M²</v>
      </c>
      <c r="F1737" s="21">
        <v>48.96</v>
      </c>
      <c r="G1737" s="27">
        <v>73.97</v>
      </c>
      <c r="H1737" s="27">
        <f>'[3]Plan Tron'!F85</f>
        <v>84.16</v>
      </c>
      <c r="I1737" s="9">
        <v>26.44</v>
      </c>
      <c r="J1737" s="9">
        <f>ROUND(H1737*(I1737/100+1),2)</f>
        <v>106.41</v>
      </c>
      <c r="K1737" s="383">
        <v>0</v>
      </c>
      <c r="L1737" s="474">
        <f>F1737-K1737</f>
        <v>48.96</v>
      </c>
      <c r="M1737" s="471">
        <f t="shared" si="217"/>
        <v>5209.83</v>
      </c>
      <c r="N1737" s="405"/>
      <c r="O1737" s="541"/>
      <c r="P1737" s="405"/>
      <c r="Q1737" s="405"/>
      <c r="S1737" s="344" t="str">
        <f>UPPER(D1737)</f>
        <v xml:space="preserve"> TELHAMENTO COM TELHA ESTRUTURAL DE FIBROCIMENTO E= 6 MM, COM ATÉ 2 ÁGUAS, INCLUSO IÇAMENTO. AF_06/2016</v>
      </c>
    </row>
    <row r="1738" spans="1:19" s="344" customFormat="1">
      <c r="A1738" s="49"/>
      <c r="B1738" s="17"/>
      <c r="C1738" s="49"/>
      <c r="D1738" s="17"/>
      <c r="E1738" s="7"/>
      <c r="F1738" s="10"/>
      <c r="G1738" s="9"/>
      <c r="H1738" s="9"/>
      <c r="I1738" s="9"/>
      <c r="J1738" s="9"/>
      <c r="K1738" s="17"/>
      <c r="L1738" s="474"/>
      <c r="M1738" s="471"/>
      <c r="N1738" s="405"/>
      <c r="O1738" s="541"/>
      <c r="P1738" s="405"/>
      <c r="Q1738" s="405"/>
    </row>
    <row r="1739" spans="1:19" s="344" customFormat="1">
      <c r="A1739" s="49"/>
      <c r="B1739" s="17"/>
      <c r="C1739" s="49"/>
      <c r="D1739" s="53" t="s">
        <v>76</v>
      </c>
      <c r="E1739" s="7"/>
      <c r="F1739" s="10"/>
      <c r="G1739" s="27"/>
      <c r="H1739" s="27"/>
      <c r="I1739" s="9"/>
      <c r="J1739" s="9"/>
      <c r="K1739" s="383"/>
      <c r="L1739" s="474"/>
      <c r="M1739" s="471"/>
      <c r="N1739" s="405"/>
      <c r="O1739" s="541"/>
      <c r="P1739" s="405"/>
      <c r="Q1739" s="405"/>
      <c r="S1739" s="344" t="str">
        <f t="shared" ref="S1739:S1747" si="219">UPPER(D1739)</f>
        <v/>
      </c>
    </row>
    <row r="1740" spans="1:19" s="344" customFormat="1">
      <c r="A1740" s="45">
        <v>5</v>
      </c>
      <c r="B1740" s="17"/>
      <c r="C1740" s="45"/>
      <c r="D1740" s="53" t="s">
        <v>2070</v>
      </c>
      <c r="E1740" s="7"/>
      <c r="F1740" s="10"/>
      <c r="G1740" s="27"/>
      <c r="H1740" s="27"/>
      <c r="I1740" s="9"/>
      <c r="J1740" s="9"/>
      <c r="K1740" s="383"/>
      <c r="L1740" s="474"/>
      <c r="M1740" s="471"/>
      <c r="N1740" s="405"/>
      <c r="O1740" s="541"/>
      <c r="P1740" s="405"/>
      <c r="Q1740" s="405"/>
      <c r="S1740" s="344" t="str">
        <f t="shared" si="219"/>
        <v>ESQUADRIAS / FERRAGENS / VIDROS</v>
      </c>
    </row>
    <row r="1741" spans="1:19" s="414" customFormat="1">
      <c r="A1741" s="410" t="s">
        <v>136</v>
      </c>
      <c r="B1741" s="425"/>
      <c r="C1741" s="410"/>
      <c r="D1741" s="426" t="s">
        <v>2184</v>
      </c>
      <c r="E1741" s="617"/>
      <c r="F1741" s="422"/>
      <c r="G1741" s="619"/>
      <c r="H1741" s="619"/>
      <c r="I1741" s="412"/>
      <c r="J1741" s="412"/>
      <c r="K1741" s="498"/>
      <c r="L1741" s="474"/>
      <c r="M1741" s="471"/>
      <c r="N1741" s="419"/>
      <c r="O1741" s="541"/>
      <c r="P1741" s="419"/>
      <c r="Q1741" s="419"/>
      <c r="S1741" s="414" t="str">
        <f t="shared" si="219"/>
        <v>PORTA DE MADEIRA</v>
      </c>
    </row>
    <row r="1742" spans="1:19" s="414" customFormat="1">
      <c r="A1742" s="410" t="s">
        <v>135</v>
      </c>
      <c r="B1742" s="425"/>
      <c r="C1742" s="410"/>
      <c r="D1742" s="426" t="s">
        <v>2185</v>
      </c>
      <c r="E1742" s="617"/>
      <c r="F1742" s="422"/>
      <c r="G1742" s="619"/>
      <c r="H1742" s="619"/>
      <c r="I1742" s="412"/>
      <c r="J1742" s="412"/>
      <c r="K1742" s="498"/>
      <c r="L1742" s="474"/>
      <c r="M1742" s="471"/>
      <c r="N1742" s="419"/>
      <c r="O1742" s="541"/>
      <c r="P1742" s="419"/>
      <c r="Q1742" s="419"/>
      <c r="S1742" s="414" t="str">
        <f t="shared" si="219"/>
        <v>PORTA DE MADEIRA COMPENSADA LISA</v>
      </c>
    </row>
    <row r="1743" spans="1:19" s="344" customFormat="1" ht="38.25">
      <c r="A1743" s="49" t="s">
        <v>134</v>
      </c>
      <c r="B1743" s="49">
        <f>'[3]Plan Tron'!B116</f>
        <v>91015</v>
      </c>
      <c r="C1743" s="49" t="str">
        <f>'[3]Plan Tron'!C116</f>
        <v>SINAPI</v>
      </c>
      <c r="D1743" s="614" t="str">
        <f>'[3]Plan Tron'!D116</f>
        <v>KIT DE PORTA DE MADEIRA PARA VERNIZ, SEMI-OCA (LEVE OU MÉDIA), PADRÃO MÉDIO, 80X210CM, ESPESSURA DE 3,5CM, ITENS INCLUSOS: DOBRADIÇAS, MONTAGEM E INSTALAÇÃO DO BATENTE, SEM FECHADURA - FORNECIMENTO E INSTALAÇÃO. AF_08/2015</v>
      </c>
      <c r="E1743" s="49" t="str">
        <f>'[3]Plan Tron'!E116</f>
        <v>UN.</v>
      </c>
      <c r="F1743" s="21">
        <v>3</v>
      </c>
      <c r="G1743" s="27">
        <v>385.84</v>
      </c>
      <c r="H1743" s="27">
        <f>'[3]Plan Tron'!F116</f>
        <v>615.78</v>
      </c>
      <c r="I1743" s="9">
        <v>26.44</v>
      </c>
      <c r="J1743" s="9">
        <f>ROUND(H1743*(I1743/100+1),2)</f>
        <v>778.59</v>
      </c>
      <c r="K1743" s="383">
        <v>0</v>
      </c>
      <c r="L1743" s="474">
        <f>F1743-K1743</f>
        <v>3</v>
      </c>
      <c r="M1743" s="471">
        <f t="shared" si="217"/>
        <v>2335.77</v>
      </c>
      <c r="N1743" s="405"/>
      <c r="O1743" s="541"/>
      <c r="P1743" s="405"/>
      <c r="Q1743" s="405"/>
      <c r="S1743" s="344" t="str">
        <f t="shared" si="219"/>
        <v>KIT DE PORTA DE MADEIRA PARA VERNIZ, SEMI-OCA (LEVE OU MÉDIA), PADRÃO MÉDIO, 80X210CM, ESPESSURA DE 3,5CM, ITENS INCLUSOS: DOBRADIÇAS, MONTAGEM E INSTALAÇÃO DO BATENTE, SEM FECHADURA - FORNECIMENTO E INSTALAÇÃO. AF_08/2015</v>
      </c>
    </row>
    <row r="1744" spans="1:19" s="414" customFormat="1">
      <c r="A1744" s="410" t="s">
        <v>133</v>
      </c>
      <c r="B1744" s="411"/>
      <c r="C1744" s="410"/>
      <c r="D1744" s="429" t="s">
        <v>2297</v>
      </c>
      <c r="E1744" s="617"/>
      <c r="F1744" s="422"/>
      <c r="G1744" s="412"/>
      <c r="H1744" s="412"/>
      <c r="I1744" s="412"/>
      <c r="J1744" s="412"/>
      <c r="K1744" s="498"/>
      <c r="L1744" s="474"/>
      <c r="M1744" s="471"/>
      <c r="N1744" s="419"/>
      <c r="O1744" s="541"/>
      <c r="P1744" s="419"/>
      <c r="Q1744" s="419"/>
      <c r="S1744" s="414" t="str">
        <f t="shared" si="219"/>
        <v>VIDROS / ESPELHOS</v>
      </c>
    </row>
    <row r="1745" spans="1:19" s="344" customFormat="1">
      <c r="A1745" s="49" t="s">
        <v>132</v>
      </c>
      <c r="B1745" s="49">
        <f>'[3]Plan Tron'!B172</f>
        <v>72118</v>
      </c>
      <c r="C1745" s="49" t="str">
        <f>'[3]Plan Tron'!C172</f>
        <v>SINAPI</v>
      </c>
      <c r="D1745" s="612" t="str">
        <f>'[3]Plan Tron'!D172</f>
        <v>VIDRO TEMPERADO INCOLOR, ESPESSURA 6MM, FORNECIMENTO E INSTALACAO, INCLUSIVE MASSA PARA VEDACAO</v>
      </c>
      <c r="E1745" s="49" t="str">
        <f>'[3]Plan Tron'!E172</f>
        <v>M²</v>
      </c>
      <c r="F1745" s="21">
        <v>5.04</v>
      </c>
      <c r="G1745" s="27">
        <v>162.9</v>
      </c>
      <c r="H1745" s="27">
        <f>'[3]Plan Tron'!F172</f>
        <v>185.3</v>
      </c>
      <c r="I1745" s="9">
        <v>26.44</v>
      </c>
      <c r="J1745" s="9">
        <f>ROUND(H1745*(I1745/100+1),2)</f>
        <v>234.29</v>
      </c>
      <c r="K1745" s="383">
        <v>0</v>
      </c>
      <c r="L1745" s="474">
        <f>F1745-K1745</f>
        <v>5.04</v>
      </c>
      <c r="M1745" s="471">
        <f t="shared" si="217"/>
        <v>1180.82</v>
      </c>
      <c r="N1745" s="405"/>
      <c r="O1745" s="541"/>
      <c r="P1745" s="405"/>
      <c r="Q1745" s="405"/>
      <c r="S1745" s="344" t="str">
        <f t="shared" si="219"/>
        <v>VIDRO TEMPERADO INCOLOR, ESPESSURA 6MM, FORNECIMENTO E INSTALACAO, INCLUSIVE MASSA PARA VEDACAO</v>
      </c>
    </row>
    <row r="1746" spans="1:19" s="414" customFormat="1">
      <c r="A1746" s="410" t="s">
        <v>126</v>
      </c>
      <c r="B1746" s="425"/>
      <c r="C1746" s="410"/>
      <c r="D1746" s="426" t="s">
        <v>2186</v>
      </c>
      <c r="E1746" s="617"/>
      <c r="F1746" s="422"/>
      <c r="G1746" s="619"/>
      <c r="H1746" s="619"/>
      <c r="I1746" s="412"/>
      <c r="J1746" s="412"/>
      <c r="K1746" s="498"/>
      <c r="L1746" s="474"/>
      <c r="M1746" s="471"/>
      <c r="N1746" s="419"/>
      <c r="O1746" s="541"/>
      <c r="P1746" s="419"/>
      <c r="Q1746" s="419"/>
      <c r="S1746" s="414" t="str">
        <f t="shared" si="219"/>
        <v>JANELA DE ALUMÍNIO</v>
      </c>
    </row>
    <row r="1747" spans="1:19" s="344" customFormat="1">
      <c r="A1747" s="49" t="s">
        <v>125</v>
      </c>
      <c r="B1747" s="49">
        <f>'[3]Plan Tron'!B118</f>
        <v>250104</v>
      </c>
      <c r="C1747" s="49" t="str">
        <f>'[3]Plan Tron'!C118</f>
        <v>CPOS</v>
      </c>
      <c r="D1747" s="612" t="str">
        <f>UPPER('[3]Plan Tron'!D118)</f>
        <v xml:space="preserve">CAIXILHO EM ALUMÍNIO BASCULANTE, SOB MEDIDA </v>
      </c>
      <c r="E1747" s="49" t="str">
        <f>'[3]Plan Tron'!E118</f>
        <v>M²</v>
      </c>
      <c r="F1747" s="21">
        <v>5.04</v>
      </c>
      <c r="G1747" s="27">
        <v>579.95000000000005</v>
      </c>
      <c r="H1747" s="27">
        <f>'[3]Plan Tron'!F118</f>
        <v>610.01</v>
      </c>
      <c r="I1747" s="9">
        <v>26.44</v>
      </c>
      <c r="J1747" s="9">
        <f>ROUND(H1747*(I1747/100+1),2)</f>
        <v>771.3</v>
      </c>
      <c r="K1747" s="383">
        <v>0</v>
      </c>
      <c r="L1747" s="474">
        <f>F1747-K1747</f>
        <v>5.04</v>
      </c>
      <c r="M1747" s="471">
        <f t="shared" si="217"/>
        <v>3887.35</v>
      </c>
      <c r="N1747" s="405"/>
      <c r="O1747" s="541"/>
      <c r="P1747" s="405"/>
      <c r="Q1747" s="405"/>
      <c r="S1747" s="344" t="str">
        <f t="shared" si="219"/>
        <v xml:space="preserve">CAIXILHO EM ALUMÍNIO BASCULANTE, SOB MEDIDA </v>
      </c>
    </row>
    <row r="1748" spans="1:19" s="344" customFormat="1">
      <c r="A1748" s="49"/>
      <c r="B1748" s="17"/>
      <c r="C1748" s="49"/>
      <c r="D1748" s="17"/>
      <c r="E1748" s="7"/>
      <c r="F1748" s="10"/>
      <c r="G1748" s="9"/>
      <c r="H1748" s="9"/>
      <c r="I1748" s="9"/>
      <c r="J1748" s="9"/>
      <c r="K1748" s="17"/>
      <c r="L1748" s="474"/>
      <c r="M1748" s="471"/>
      <c r="N1748" s="405"/>
      <c r="O1748" s="541"/>
      <c r="P1748" s="405"/>
      <c r="Q1748" s="405"/>
    </row>
    <row r="1749" spans="1:19" s="344" customFormat="1">
      <c r="A1749" s="49"/>
      <c r="B1749" s="17"/>
      <c r="C1749" s="49"/>
      <c r="D1749" s="53" t="s">
        <v>76</v>
      </c>
      <c r="E1749" s="7"/>
      <c r="F1749" s="10"/>
      <c r="G1749" s="27"/>
      <c r="H1749" s="27"/>
      <c r="I1749" s="9"/>
      <c r="J1749" s="9"/>
      <c r="K1749" s="383"/>
      <c r="L1749" s="474"/>
      <c r="M1749" s="471"/>
      <c r="N1749" s="405"/>
      <c r="O1749" s="541"/>
      <c r="P1749" s="405"/>
      <c r="Q1749" s="405"/>
      <c r="S1749" s="344" t="str">
        <f t="shared" ref="S1749:S1754" si="220">UPPER(D1749)</f>
        <v/>
      </c>
    </row>
    <row r="1750" spans="1:19" s="344" customFormat="1">
      <c r="A1750" s="45">
        <v>6</v>
      </c>
      <c r="B1750" s="17"/>
      <c r="C1750" s="45"/>
      <c r="D1750" s="53" t="s">
        <v>2189</v>
      </c>
      <c r="E1750" s="7"/>
      <c r="F1750" s="10"/>
      <c r="G1750" s="27"/>
      <c r="H1750" s="27"/>
      <c r="I1750" s="9"/>
      <c r="J1750" s="9"/>
      <c r="K1750" s="383"/>
      <c r="L1750" s="474"/>
      <c r="M1750" s="471"/>
      <c r="N1750" s="405"/>
      <c r="O1750" s="541"/>
      <c r="P1750" s="405"/>
      <c r="Q1750" s="405"/>
      <c r="S1750" s="344" t="str">
        <f t="shared" si="220"/>
        <v>REVESTIMENTO E TRATAMENTO DE SUPERFÍCIES</v>
      </c>
    </row>
    <row r="1751" spans="1:19" s="414" customFormat="1">
      <c r="A1751" s="410" t="s">
        <v>120</v>
      </c>
      <c r="B1751" s="411"/>
      <c r="C1751" s="410"/>
      <c r="D1751" s="429" t="s">
        <v>2190</v>
      </c>
      <c r="E1751" s="617"/>
      <c r="F1751" s="422"/>
      <c r="G1751" s="619"/>
      <c r="H1751" s="619"/>
      <c r="I1751" s="412"/>
      <c r="J1751" s="412"/>
      <c r="K1751" s="498"/>
      <c r="L1751" s="474"/>
      <c r="M1751" s="471"/>
      <c r="N1751" s="419"/>
      <c r="O1751" s="541"/>
      <c r="P1751" s="419"/>
      <c r="Q1751" s="419"/>
      <c r="S1751" s="414" t="str">
        <f t="shared" si="220"/>
        <v>EMBOÇO</v>
      </c>
    </row>
    <row r="1752" spans="1:19" s="344" customFormat="1" ht="38.25">
      <c r="A1752" s="49" t="s">
        <v>119</v>
      </c>
      <c r="B1752" s="49">
        <f>'[3]Plan Tron'!B121</f>
        <v>87527</v>
      </c>
      <c r="C1752" s="49" t="str">
        <f>'[3]Plan Tron'!C121</f>
        <v>SINAPI</v>
      </c>
      <c r="D1752" s="614" t="str">
        <f>'[3]Plan Tron'!D121</f>
        <v>EMBOÇO, PARA RECEBIMENTO DE CERÂMICA, EM ARGAMASSA TRAÇO 1:2:8, PREPARO MECÂNICO COM BETONEIRA 400L, APLICADO MANUALMENTE EM FACES INTERNAS DE PAREDES, PARA AMBIENTE COM ÁREA MENOR QUE 5M2, ESPESSURA DE 20MM, COM EXECUÇÃO DE TALISCAS. AF_06/2014</v>
      </c>
      <c r="E1752" s="49" t="str">
        <f>'[3]Plan Tron'!E121</f>
        <v>M²</v>
      </c>
      <c r="F1752" s="21">
        <v>226.08</v>
      </c>
      <c r="G1752" s="27">
        <v>18.93</v>
      </c>
      <c r="H1752" s="27">
        <f>'[3]Plan Tron'!F121</f>
        <v>27.13</v>
      </c>
      <c r="I1752" s="9">
        <v>26.44</v>
      </c>
      <c r="J1752" s="9">
        <f>ROUND(H1752*(I1752/100+1),2)</f>
        <v>34.299999999999997</v>
      </c>
      <c r="K1752" s="383">
        <v>0</v>
      </c>
      <c r="L1752" s="474">
        <f>F1752-K1752</f>
        <v>226.08</v>
      </c>
      <c r="M1752" s="471">
        <f t="shared" si="217"/>
        <v>7754.54</v>
      </c>
      <c r="N1752" s="405"/>
      <c r="O1752" s="541"/>
      <c r="P1752" s="405"/>
      <c r="Q1752" s="405"/>
      <c r="S1752" s="344" t="str">
        <f t="shared" si="220"/>
        <v>EMBOÇO, PARA RECEBIMENTO DE CERÂMICA, EM ARGAMASSA TRAÇO 1:2:8, PREPARO MECÂNICO COM BETONEIRA 400L, APLICADO MANUALMENTE EM FACES INTERNAS DE PAREDES, PARA AMBIENTE COM ÁREA MENOR QUE 5M2, ESPESSURA DE 20MM, COM EXECUÇÃO DE TALISCAS. AF_06/2014</v>
      </c>
    </row>
    <row r="1753" spans="1:19" s="414" customFormat="1">
      <c r="A1753" s="410" t="s">
        <v>116</v>
      </c>
      <c r="B1753" s="411"/>
      <c r="C1753" s="410"/>
      <c r="D1753" s="429" t="s">
        <v>2191</v>
      </c>
      <c r="E1753" s="617"/>
      <c r="F1753" s="422"/>
      <c r="G1753" s="619"/>
      <c r="H1753" s="619"/>
      <c r="I1753" s="412"/>
      <c r="J1753" s="412"/>
      <c r="K1753" s="498"/>
      <c r="L1753" s="474"/>
      <c r="M1753" s="471"/>
      <c r="N1753" s="419"/>
      <c r="O1753" s="541"/>
      <c r="P1753" s="419"/>
      <c r="Q1753" s="419"/>
      <c r="S1753" s="414" t="str">
        <f t="shared" si="220"/>
        <v>REBOCO</v>
      </c>
    </row>
    <row r="1754" spans="1:19" s="344" customFormat="1" ht="38.25">
      <c r="A1754" s="49" t="s">
        <v>115</v>
      </c>
      <c r="B1754" s="49">
        <f>'[3]Plan Tron'!B169</f>
        <v>90408</v>
      </c>
      <c r="C1754" s="49" t="str">
        <f>'[3]Plan Tron'!C169</f>
        <v>SINAPI</v>
      </c>
      <c r="D1754" s="614" t="str">
        <f>'[3]Plan Tron'!D169</f>
        <v>MASSA ÚNICA, PARA RECEBIMENTO DE PINTURA, EM ARGAMASSA TRAÇO 1:2:8, PREPARO MECÂNICO COM BETONEIRA 400L, APLICADA MANUALMENTE EM TETO, ESPESSURA DE 10MM, COM EXECUÇÃO DE TALISCAS. AF_03/2015</v>
      </c>
      <c r="E1754" s="49" t="str">
        <f>'[3]Plan Tron'!E169</f>
        <v>M²</v>
      </c>
      <c r="F1754" s="21">
        <v>226.08</v>
      </c>
      <c r="G1754" s="27">
        <v>12.45</v>
      </c>
      <c r="H1754" s="27">
        <f>'[3]Plan Tron'!F169</f>
        <v>23.78</v>
      </c>
      <c r="I1754" s="9">
        <v>26.44</v>
      </c>
      <c r="J1754" s="9">
        <f>ROUND(H1754*(I1754/100+1),2)</f>
        <v>30.07</v>
      </c>
      <c r="K1754" s="383">
        <v>0</v>
      </c>
      <c r="L1754" s="474">
        <f>F1754-K1754</f>
        <v>226.08</v>
      </c>
      <c r="M1754" s="471">
        <f t="shared" si="217"/>
        <v>6798.23</v>
      </c>
      <c r="N1754" s="405"/>
      <c r="O1754" s="541"/>
      <c r="P1754" s="405"/>
      <c r="Q1754" s="405"/>
      <c r="S1754" s="344" t="str">
        <f t="shared" si="220"/>
        <v>MASSA ÚNICA, PARA RECEBIMENTO DE PINTURA, EM ARGAMASSA TRAÇO 1:2:8, PREPARO MECÂNICO COM BETONEIRA 400L, APLICADA MANUALMENTE EM TETO, ESPESSURA DE 10MM, COM EXECUÇÃO DE TALISCAS. AF_03/2015</v>
      </c>
    </row>
    <row r="1755" spans="1:19" s="344" customFormat="1">
      <c r="A1755" s="49"/>
      <c r="B1755" s="17"/>
      <c r="C1755" s="49"/>
      <c r="D1755" s="17"/>
      <c r="E1755" s="7"/>
      <c r="F1755" s="10"/>
      <c r="G1755" s="9"/>
      <c r="H1755" s="9"/>
      <c r="I1755" s="9"/>
      <c r="J1755" s="9"/>
      <c r="K1755" s="17"/>
      <c r="L1755" s="474"/>
      <c r="M1755" s="471"/>
      <c r="N1755" s="405"/>
      <c r="O1755" s="541"/>
      <c r="P1755" s="405"/>
      <c r="Q1755" s="405"/>
    </row>
    <row r="1756" spans="1:19" s="344" customFormat="1">
      <c r="A1756" s="49"/>
      <c r="B1756" s="17"/>
      <c r="C1756" s="49"/>
      <c r="D1756" s="53" t="s">
        <v>76</v>
      </c>
      <c r="E1756" s="7"/>
      <c r="F1756" s="10"/>
      <c r="G1756" s="27"/>
      <c r="H1756" s="27"/>
      <c r="I1756" s="9"/>
      <c r="J1756" s="9"/>
      <c r="K1756" s="383"/>
      <c r="L1756" s="474"/>
      <c r="M1756" s="471"/>
      <c r="N1756" s="405"/>
      <c r="O1756" s="541"/>
      <c r="P1756" s="405"/>
      <c r="Q1756" s="405"/>
      <c r="S1756" s="344" t="str">
        <f>UPPER(D1756)</f>
        <v/>
      </c>
    </row>
    <row r="1757" spans="1:19" s="344" customFormat="1">
      <c r="A1757" s="45">
        <v>7</v>
      </c>
      <c r="B1757" s="17"/>
      <c r="C1757" s="45"/>
      <c r="D1757" s="53" t="s">
        <v>2073</v>
      </c>
      <c r="E1757" s="7"/>
      <c r="F1757" s="10"/>
      <c r="G1757" s="27"/>
      <c r="H1757" s="27"/>
      <c r="I1757" s="9"/>
      <c r="J1757" s="9"/>
      <c r="K1757" s="383"/>
      <c r="L1757" s="474"/>
      <c r="M1757" s="471"/>
      <c r="N1757" s="405"/>
      <c r="O1757" s="541"/>
      <c r="P1757" s="405"/>
      <c r="Q1757" s="405"/>
      <c r="S1757" s="344" t="str">
        <f>UPPER(D1757)</f>
        <v>IMPERMEABILIZAÇÕES E PROTEÇÕES DIVERSAS</v>
      </c>
    </row>
    <row r="1758" spans="1:19" s="414" customFormat="1" hidden="1">
      <c r="A1758" s="650" t="s">
        <v>109</v>
      </c>
      <c r="B1758" s="425"/>
      <c r="C1758" s="410"/>
      <c r="D1758" s="426" t="s">
        <v>2129</v>
      </c>
      <c r="E1758" s="421"/>
      <c r="F1758" s="623"/>
      <c r="G1758" s="623"/>
      <c r="H1758" s="623"/>
      <c r="I1758" s="412"/>
      <c r="J1758" s="412"/>
      <c r="K1758" s="498"/>
      <c r="L1758" s="474"/>
      <c r="M1758" s="471"/>
      <c r="N1758" s="419"/>
      <c r="O1758" s="541"/>
      <c r="P1758" s="419"/>
      <c r="Q1758" s="419"/>
      <c r="S1758" s="414" t="str">
        <f>UPPER(D1758)</f>
        <v>IMPERMEABILIZAÇÃO COM MANTA</v>
      </c>
    </row>
    <row r="1759" spans="1:19" s="344" customFormat="1" hidden="1">
      <c r="A1759" s="55" t="s">
        <v>108</v>
      </c>
      <c r="B1759" s="49">
        <f>'[3]Plan Tron'!B173</f>
        <v>68053</v>
      </c>
      <c r="C1759" s="49" t="str">
        <f>'[3]Plan Tron'!C173</f>
        <v>SINAPI</v>
      </c>
      <c r="D1759" s="612" t="str">
        <f>'[3]Plan Tron'!D173</f>
        <v>FORNECIMENTO/INSTALACAO LONA PLASTICA PRETA, PARA IMPERMEABILIZACAO, ESPESSURA 150 MICRAS.</v>
      </c>
      <c r="E1759" s="49" t="str">
        <f>'[3]Plan Tron'!E173</f>
        <v>M²</v>
      </c>
      <c r="F1759" s="21">
        <v>23.08</v>
      </c>
      <c r="G1759" s="19">
        <v>3.5</v>
      </c>
      <c r="H1759" s="19">
        <f>'[3]Plan Tron'!F173</f>
        <v>5.15</v>
      </c>
      <c r="I1759" s="9">
        <v>26.44</v>
      </c>
      <c r="J1759" s="9">
        <f>ROUND(H1759*(I1759/100+1),2)</f>
        <v>6.51</v>
      </c>
      <c r="K1759" s="383">
        <v>23.08</v>
      </c>
      <c r="L1759" s="474">
        <f>F1759-K1759</f>
        <v>0</v>
      </c>
      <c r="M1759" s="471">
        <f t="shared" si="217"/>
        <v>0</v>
      </c>
      <c r="N1759" s="405"/>
      <c r="O1759" s="541"/>
      <c r="P1759" s="405"/>
      <c r="Q1759" s="405"/>
      <c r="S1759" s="344" t="str">
        <f>UPPER(D1759)</f>
        <v>FORNECIMENTO/INSTALACAO LONA PLASTICA PRETA, PARA IMPERMEABILIZACAO, ESPESSURA 150 MICRAS.</v>
      </c>
    </row>
    <row r="1760" spans="1:19" s="344" customFormat="1">
      <c r="A1760" s="49"/>
      <c r="B1760" s="17"/>
      <c r="C1760" s="49"/>
      <c r="D1760" s="17"/>
      <c r="E1760" s="7"/>
      <c r="F1760" s="10"/>
      <c r="G1760" s="9"/>
      <c r="H1760" s="9"/>
      <c r="I1760" s="9"/>
      <c r="J1760" s="9"/>
      <c r="K1760" s="17"/>
      <c r="L1760" s="474"/>
      <c r="M1760" s="471"/>
      <c r="N1760" s="405"/>
      <c r="O1760" s="541"/>
      <c r="P1760" s="405"/>
      <c r="Q1760" s="405"/>
    </row>
    <row r="1761" spans="1:19" s="344" customFormat="1">
      <c r="A1761" s="49"/>
      <c r="B1761" s="17"/>
      <c r="C1761" s="49"/>
      <c r="D1761" s="53" t="s">
        <v>76</v>
      </c>
      <c r="E1761" s="7"/>
      <c r="F1761" s="10"/>
      <c r="G1761" s="27"/>
      <c r="H1761" s="27"/>
      <c r="I1761" s="9"/>
      <c r="J1761" s="9"/>
      <c r="K1761" s="383"/>
      <c r="L1761" s="474"/>
      <c r="M1761" s="471"/>
      <c r="N1761" s="405"/>
      <c r="O1761" s="541"/>
      <c r="P1761" s="405"/>
      <c r="Q1761" s="405"/>
      <c r="S1761" s="344" t="str">
        <f>UPPER(D1761)</f>
        <v/>
      </c>
    </row>
    <row r="1762" spans="1:19" s="344" customFormat="1">
      <c r="A1762" s="59">
        <v>8</v>
      </c>
      <c r="B1762" s="65"/>
      <c r="C1762" s="59"/>
      <c r="D1762" s="169" t="s">
        <v>2107</v>
      </c>
      <c r="E1762" s="18"/>
      <c r="F1762" s="19"/>
      <c r="G1762" s="36"/>
      <c r="H1762" s="36"/>
      <c r="I1762" s="9"/>
      <c r="J1762" s="9"/>
      <c r="K1762" s="383"/>
      <c r="L1762" s="474"/>
      <c r="M1762" s="471"/>
      <c r="N1762" s="405"/>
      <c r="O1762" s="541"/>
      <c r="P1762" s="405"/>
      <c r="Q1762" s="405"/>
      <c r="S1762" s="344" t="str">
        <f>UPPER(D1762)</f>
        <v>PINTURAS</v>
      </c>
    </row>
    <row r="1763" spans="1:19" s="414" customFormat="1">
      <c r="A1763" s="650" t="s">
        <v>90</v>
      </c>
      <c r="B1763" s="425"/>
      <c r="C1763" s="410"/>
      <c r="D1763" s="426" t="s">
        <v>2108</v>
      </c>
      <c r="E1763" s="421"/>
      <c r="F1763" s="623"/>
      <c r="G1763" s="623"/>
      <c r="H1763" s="623"/>
      <c r="I1763" s="412"/>
      <c r="J1763" s="412"/>
      <c r="K1763" s="498"/>
      <c r="L1763" s="474"/>
      <c r="M1763" s="471"/>
      <c r="N1763" s="419"/>
      <c r="O1763" s="541"/>
      <c r="P1763" s="419"/>
      <c r="Q1763" s="419"/>
      <c r="S1763" s="414" t="str">
        <f>UPPER(D1763)</f>
        <v>PINTURA DE PAREDE</v>
      </c>
    </row>
    <row r="1764" spans="1:19" s="414" customFormat="1">
      <c r="A1764" s="650" t="s">
        <v>89</v>
      </c>
      <c r="B1764" s="611"/>
      <c r="C1764" s="650"/>
      <c r="D1764" s="426" t="s">
        <v>2199</v>
      </c>
      <c r="E1764" s="421"/>
      <c r="F1764" s="623"/>
      <c r="G1764" s="623"/>
      <c r="H1764" s="623"/>
      <c r="I1764" s="412"/>
      <c r="J1764" s="412"/>
      <c r="K1764" s="498"/>
      <c r="L1764" s="474"/>
      <c r="M1764" s="471"/>
      <c r="N1764" s="419"/>
      <c r="O1764" s="541"/>
      <c r="P1764" s="419"/>
      <c r="Q1764" s="419"/>
      <c r="S1764" s="414" t="str">
        <f>UPPER(D1764)</f>
        <v>PINTURA LÁTEX ACRÍLICA EXTERNA / INTERNA S/ SELADOR</v>
      </c>
    </row>
    <row r="1765" spans="1:19" s="344" customFormat="1">
      <c r="A1765" s="55" t="s">
        <v>88</v>
      </c>
      <c r="B1765" s="49" t="str">
        <f>'[3]Plan Tron'!B72</f>
        <v xml:space="preserve">88489 </v>
      </c>
      <c r="C1765" s="49" t="str">
        <f>'[3]Plan Tron'!C72</f>
        <v>SINAPI</v>
      </c>
      <c r="D1765" s="612" t="str">
        <f>'[3]Plan Tron'!D72</f>
        <v>APLICAÇÃO MANUAL DE PINTURA COM TINTA LÁTEX ACRÍLICA EM PAREDES, DUAS DEMÃOS. AF_06/2014</v>
      </c>
      <c r="E1765" s="49" t="str">
        <f>'[3]Plan Tron'!E72</f>
        <v>M²</v>
      </c>
      <c r="F1765" s="36">
        <v>226.08</v>
      </c>
      <c r="G1765" s="9">
        <v>8.39</v>
      </c>
      <c r="H1765" s="9">
        <f>'[3]Plan Tron'!F72</f>
        <v>9.69</v>
      </c>
      <c r="I1765" s="9">
        <v>26.44</v>
      </c>
      <c r="J1765" s="9">
        <f>ROUND(H1765*(I1765/100+1),2)</f>
        <v>12.25</v>
      </c>
      <c r="K1765" s="383">
        <v>0</v>
      </c>
      <c r="L1765" s="474">
        <f>F1765-K1765</f>
        <v>226.08</v>
      </c>
      <c r="M1765" s="471">
        <f t="shared" ref="M1765:M1778" si="221">ROUND(L1765*J1765,2)</f>
        <v>2769.48</v>
      </c>
      <c r="N1765" s="405"/>
      <c r="O1765" s="541"/>
      <c r="P1765" s="405"/>
      <c r="Q1765" s="405"/>
      <c r="S1765" s="344" t="str">
        <f>UPPER(D1765)</f>
        <v>APLICAÇÃO MANUAL DE PINTURA COM TINTA LÁTEX ACRÍLICA EM PAREDES, DUAS DEMÃOS. AF_06/2014</v>
      </c>
    </row>
    <row r="1766" spans="1:19" s="344" customFormat="1">
      <c r="A1766" s="49"/>
      <c r="B1766" s="17"/>
      <c r="C1766" s="49"/>
      <c r="D1766" s="65"/>
      <c r="E1766" s="7"/>
      <c r="F1766" s="10"/>
      <c r="G1766" s="9"/>
      <c r="H1766" s="9"/>
      <c r="I1766" s="9"/>
      <c r="J1766" s="9"/>
      <c r="K1766" s="65"/>
      <c r="L1766" s="474"/>
      <c r="M1766" s="471"/>
      <c r="N1766" s="405"/>
      <c r="O1766" s="541"/>
      <c r="P1766" s="405"/>
      <c r="Q1766" s="405"/>
    </row>
    <row r="1767" spans="1:19" s="344" customFormat="1">
      <c r="A1767" s="49"/>
      <c r="B1767" s="17"/>
      <c r="C1767" s="49"/>
      <c r="D1767" s="169" t="s">
        <v>76</v>
      </c>
      <c r="E1767" s="7"/>
      <c r="F1767" s="10"/>
      <c r="G1767" s="9"/>
      <c r="H1767" s="9"/>
      <c r="I1767" s="9"/>
      <c r="J1767" s="9"/>
      <c r="K1767" s="383"/>
      <c r="L1767" s="474"/>
      <c r="M1767" s="471"/>
      <c r="N1767" s="405"/>
      <c r="O1767" s="541"/>
      <c r="P1767" s="405"/>
      <c r="Q1767" s="405"/>
      <c r="S1767" s="344" t="str">
        <f t="shared" ref="S1767:S1774" si="222">UPPER(D1767)</f>
        <v/>
      </c>
    </row>
    <row r="1768" spans="1:19" s="344" customFormat="1">
      <c r="A1768" s="45">
        <v>9</v>
      </c>
      <c r="B1768" s="17"/>
      <c r="C1768" s="45"/>
      <c r="D1768" s="53" t="s">
        <v>2298</v>
      </c>
      <c r="E1768" s="7"/>
      <c r="F1768" s="10"/>
      <c r="G1768" s="27"/>
      <c r="H1768" s="27"/>
      <c r="I1768" s="9"/>
      <c r="J1768" s="9"/>
      <c r="K1768" s="383"/>
      <c r="L1768" s="474"/>
      <c r="M1768" s="471"/>
      <c r="N1768" s="405"/>
      <c r="O1768" s="541"/>
      <c r="P1768" s="405"/>
      <c r="Q1768" s="405"/>
      <c r="S1768" s="344" t="str">
        <f t="shared" si="222"/>
        <v>INSTALAÇÕES HIDRO SANITÁRIAS</v>
      </c>
    </row>
    <row r="1769" spans="1:19" s="414" customFormat="1">
      <c r="A1769" s="650" t="s">
        <v>87</v>
      </c>
      <c r="B1769" s="425"/>
      <c r="C1769" s="410"/>
      <c r="D1769" s="426" t="s">
        <v>2201</v>
      </c>
      <c r="E1769" s="421"/>
      <c r="F1769" s="623"/>
      <c r="G1769" s="623"/>
      <c r="H1769" s="623"/>
      <c r="I1769" s="412"/>
      <c r="J1769" s="412"/>
      <c r="K1769" s="498"/>
      <c r="L1769" s="474"/>
      <c r="M1769" s="471"/>
      <c r="N1769" s="419"/>
      <c r="O1769" s="541"/>
      <c r="P1769" s="419"/>
      <c r="Q1769" s="419"/>
      <c r="S1769" s="414" t="str">
        <f t="shared" si="222"/>
        <v>APARELHOS SANITÁRIOS, LOUÇAS, METAIS E OUTROS</v>
      </c>
    </row>
    <row r="1770" spans="1:19" s="344" customFormat="1" ht="25.5">
      <c r="A1770" s="55" t="s">
        <v>86</v>
      </c>
      <c r="B1770" s="49">
        <f>'[3]Plan Tron'!B174</f>
        <v>86931</v>
      </c>
      <c r="C1770" s="49" t="str">
        <f>'[3]Plan Tron'!C174</f>
        <v>SINAPI</v>
      </c>
      <c r="D1770" s="614" t="str">
        <f>'[3]Plan Tron'!D174</f>
        <v>VASO SANITÁRIO SIFONADO COM CAIXA ACOPLADA LOUÇA BRANCA, INCLUSO ENGATE FLEXÍVEL EM PLÁSTICO BRANCO, 1/2 X 40CM - FORNECIMENTO E INSTALAÇÃO. AF_12/2013</v>
      </c>
      <c r="E1770" s="49" t="str">
        <f>'[3]Plan Tron'!E174</f>
        <v>UN.</v>
      </c>
      <c r="F1770" s="21">
        <v>1</v>
      </c>
      <c r="G1770" s="19">
        <v>171.68</v>
      </c>
      <c r="H1770" s="19">
        <f>'[3]Plan Tron'!F174</f>
        <v>402.84</v>
      </c>
      <c r="I1770" s="9">
        <v>26.44</v>
      </c>
      <c r="J1770" s="9">
        <f>ROUND(H1770*(I1770/100+1),2)</f>
        <v>509.35</v>
      </c>
      <c r="K1770" s="383">
        <v>0</v>
      </c>
      <c r="L1770" s="474">
        <f>F1770-K1770</f>
        <v>1</v>
      </c>
      <c r="M1770" s="471">
        <f t="shared" si="221"/>
        <v>509.35</v>
      </c>
      <c r="N1770" s="405"/>
      <c r="O1770" s="541"/>
      <c r="P1770" s="405"/>
      <c r="Q1770" s="405"/>
      <c r="S1770" s="344" t="str">
        <f t="shared" si="222"/>
        <v>VASO SANITÁRIO SIFONADO COM CAIXA ACOPLADA LOUÇA BRANCA, INCLUSO ENGATE FLEXÍVEL EM PLÁSTICO BRANCO, 1/2 X 40CM - FORNECIMENTO E INSTALAÇÃO. AF_12/2013</v>
      </c>
    </row>
    <row r="1771" spans="1:19" s="344" customFormat="1">
      <c r="A1771" s="55" t="s">
        <v>1800</v>
      </c>
      <c r="B1771" s="49">
        <f>'[3]Plan Tron'!B175</f>
        <v>9535</v>
      </c>
      <c r="C1771" s="49" t="str">
        <f>'[3]Plan Tron'!C175</f>
        <v>SINAPI</v>
      </c>
      <c r="D1771" s="137" t="str">
        <f>'[3]Plan Tron'!D175</f>
        <v>CHUVEIRO ELETRICO COMUM CORPO PLASTICO TIPO DUCHA, FORNECIMENTO E INSTALACAO</v>
      </c>
      <c r="E1771" s="18" t="str">
        <f>'[3]Plan Tron'!E175</f>
        <v>UN.</v>
      </c>
      <c r="F1771" s="21">
        <v>1</v>
      </c>
      <c r="G1771" s="19">
        <v>11.95</v>
      </c>
      <c r="H1771" s="19">
        <f>'[3]Plan Tron'!F175</f>
        <v>61.45</v>
      </c>
      <c r="I1771" s="9">
        <v>26.44</v>
      </c>
      <c r="J1771" s="9">
        <f t="shared" ref="J1771:J1774" si="223">ROUND(H1771*(I1771/100+1),2)</f>
        <v>77.7</v>
      </c>
      <c r="K1771" s="383">
        <v>0</v>
      </c>
      <c r="L1771" s="474">
        <f>F1771-K1771</f>
        <v>1</v>
      </c>
      <c r="M1771" s="471">
        <f t="shared" si="221"/>
        <v>77.7</v>
      </c>
      <c r="N1771" s="405"/>
      <c r="O1771" s="541"/>
      <c r="P1771" s="405"/>
      <c r="Q1771" s="405"/>
      <c r="S1771" s="344" t="str">
        <f t="shared" si="222"/>
        <v>CHUVEIRO ELETRICO COMUM CORPO PLASTICO TIPO DUCHA, FORNECIMENTO E INSTALACAO</v>
      </c>
    </row>
    <row r="1772" spans="1:19" s="414" customFormat="1">
      <c r="A1772" s="650" t="s">
        <v>1799</v>
      </c>
      <c r="B1772" s="425"/>
      <c r="C1772" s="410"/>
      <c r="D1772" s="426" t="s">
        <v>2202</v>
      </c>
      <c r="E1772" s="421"/>
      <c r="F1772" s="422"/>
      <c r="G1772" s="423"/>
      <c r="H1772" s="423"/>
      <c r="I1772" s="412"/>
      <c r="J1772" s="9"/>
      <c r="K1772" s="498"/>
      <c r="L1772" s="474"/>
      <c r="M1772" s="471"/>
      <c r="N1772" s="419"/>
      <c r="O1772" s="541"/>
      <c r="P1772" s="419"/>
      <c r="Q1772" s="419"/>
      <c r="S1772" s="414" t="str">
        <f t="shared" si="222"/>
        <v>PIA DE COZINHA</v>
      </c>
    </row>
    <row r="1773" spans="1:19" s="344" customFormat="1" ht="25.5">
      <c r="A1773" s="55" t="s">
        <v>1798</v>
      </c>
      <c r="B1773" s="347">
        <f>'[3]Plan Tron'!B176</f>
        <v>1748</v>
      </c>
      <c r="C1773" s="347" t="str">
        <f>'[3]Plan Tron'!C176</f>
        <v>SINAPI (INSUMO)</v>
      </c>
      <c r="D1773" s="651" t="str">
        <f>'[3]Plan Tron'!D176</f>
        <v>BANCA/PIA DE ACO INOXIDAVEL (AISI 430) COM 1 CUBA CENTRAL, COM VALVULA, ESCORREDOR DUPLO, DE *0,55 X 1,40* M</v>
      </c>
      <c r="E1773" s="347" t="str">
        <f>'[3]Plan Tron'!E176</f>
        <v>UN.</v>
      </c>
      <c r="F1773" s="21">
        <v>1</v>
      </c>
      <c r="G1773" s="19">
        <v>142.15</v>
      </c>
      <c r="H1773" s="19">
        <f>'[3]Plan Tron'!F176</f>
        <v>217.56</v>
      </c>
      <c r="I1773" s="9">
        <v>26.44</v>
      </c>
      <c r="J1773" s="9">
        <f t="shared" si="223"/>
        <v>275.08</v>
      </c>
      <c r="K1773" s="383">
        <v>0</v>
      </c>
      <c r="L1773" s="474">
        <f>F1773-K1773</f>
        <v>1</v>
      </c>
      <c r="M1773" s="471">
        <f t="shared" si="221"/>
        <v>275.08</v>
      </c>
      <c r="N1773" s="405"/>
      <c r="O1773" s="541"/>
      <c r="P1773" s="405"/>
      <c r="Q1773" s="405"/>
      <c r="S1773" s="344" t="str">
        <f t="shared" si="222"/>
        <v>BANCA/PIA DE ACO INOXIDAVEL (AISI 430) COM 1 CUBA CENTRAL, COM VALVULA, ESCORREDOR DUPLO, DE *0,55 X 1,40* M</v>
      </c>
    </row>
    <row r="1774" spans="1:19" s="344" customFormat="1" ht="25.5">
      <c r="A1774" s="55" t="s">
        <v>1797</v>
      </c>
      <c r="B1774" s="49">
        <f>'[3]Plan Tron'!B177</f>
        <v>86912</v>
      </c>
      <c r="C1774" s="49" t="str">
        <f>'[3]Plan Tron'!C177</f>
        <v>SINAPI</v>
      </c>
      <c r="D1774" s="63" t="str">
        <f>'[3]Plan Tron'!D177</f>
        <v>TORNEIRA CROMADA LONGA, DE PAREDE, 1/2" OU 3/4", PARA PIA DE COZINHA, PADRÃO MÉDIO - FORNECIMENTO E INSTALAÇÃO. AF_12/2013</v>
      </c>
      <c r="E1774" s="137" t="str">
        <f>'[3]Plan Tron'!E177</f>
        <v>UN.</v>
      </c>
      <c r="F1774" s="21">
        <v>1</v>
      </c>
      <c r="G1774" s="19">
        <v>41.85</v>
      </c>
      <c r="H1774" s="19">
        <f>'[3]Plan Tron'!F177</f>
        <v>36.299999999999997</v>
      </c>
      <c r="I1774" s="9">
        <v>26.44</v>
      </c>
      <c r="J1774" s="9">
        <f t="shared" si="223"/>
        <v>45.9</v>
      </c>
      <c r="K1774" s="383">
        <v>0</v>
      </c>
      <c r="L1774" s="474">
        <f>F1774-K1774</f>
        <v>1</v>
      </c>
      <c r="M1774" s="471">
        <f t="shared" si="221"/>
        <v>45.9</v>
      </c>
      <c r="N1774" s="405"/>
      <c r="O1774" s="541"/>
      <c r="P1774" s="405"/>
      <c r="Q1774" s="405"/>
      <c r="S1774" s="344" t="str">
        <f t="shared" si="222"/>
        <v>TORNEIRA CROMADA LONGA, DE PAREDE, 1/2" OU 3/4", PARA PIA DE COZINHA, PADRÃO MÉDIO - FORNECIMENTO E INSTALAÇÃO. AF_12/2013</v>
      </c>
    </row>
    <row r="1775" spans="1:19">
      <c r="A1775" s="49"/>
      <c r="B1775" s="17"/>
      <c r="C1775" s="49"/>
      <c r="D1775" s="17"/>
      <c r="E1775" s="7"/>
      <c r="F1775" s="10"/>
      <c r="G1775" s="9"/>
      <c r="H1775" s="9"/>
      <c r="I1775" s="9"/>
      <c r="J1775" s="9"/>
      <c r="K1775" s="17"/>
      <c r="L1775" s="474"/>
      <c r="M1775" s="471"/>
      <c r="N1775" s="405"/>
      <c r="O1775" s="541"/>
      <c r="P1775" s="405"/>
      <c r="Q1775" s="405"/>
    </row>
    <row r="1776" spans="1:19">
      <c r="A1776" s="49"/>
      <c r="B1776" s="17"/>
      <c r="C1776" s="49"/>
      <c r="D1776" s="53" t="s">
        <v>76</v>
      </c>
      <c r="E1776" s="7"/>
      <c r="F1776" s="10"/>
      <c r="G1776" s="27"/>
      <c r="H1776" s="27"/>
      <c r="I1776" s="9"/>
      <c r="J1776" s="9"/>
      <c r="K1776" s="383"/>
      <c r="L1776" s="474"/>
      <c r="M1776" s="471"/>
      <c r="N1776" s="405"/>
      <c r="O1776" s="541"/>
      <c r="P1776" s="405"/>
      <c r="Q1776" s="405"/>
      <c r="S1776" s="344" t="str">
        <f>UPPER(D1776)</f>
        <v/>
      </c>
    </row>
    <row r="1777" spans="1:37">
      <c r="A1777" s="45">
        <v>10</v>
      </c>
      <c r="B1777" s="68"/>
      <c r="C1777" s="45"/>
      <c r="D1777" s="400" t="s">
        <v>2109</v>
      </c>
      <c r="E1777" s="32"/>
      <c r="F1777" s="8"/>
      <c r="G1777" s="33"/>
      <c r="H1777" s="33"/>
      <c r="I1777" s="9"/>
      <c r="J1777" s="9"/>
      <c r="K1777" s="383"/>
      <c r="L1777" s="474"/>
      <c r="M1777" s="471"/>
      <c r="N1777" s="405"/>
      <c r="O1777" s="541"/>
      <c r="P1777" s="405"/>
      <c r="Q1777" s="405"/>
      <c r="S1777" s="344" t="str">
        <f>UPPER(D1777)</f>
        <v>MONTAGEM DE MATERIAIS E EQUIPAMENTOS HIDRÁULICOS, HIDROMECÂNICOS E DIVERSOS</v>
      </c>
    </row>
    <row r="1778" spans="1:37" s="344" customFormat="1" ht="25.5">
      <c r="A1778" s="49" t="s">
        <v>84</v>
      </c>
      <c r="B1778" s="11" t="s">
        <v>1796</v>
      </c>
      <c r="C1778" s="49"/>
      <c r="D1778" s="84" t="s">
        <v>2299</v>
      </c>
      <c r="E1778" s="24" t="s">
        <v>2339</v>
      </c>
      <c r="F1778" s="10">
        <v>1</v>
      </c>
      <c r="G1778" s="27">
        <v>2231.8200000000002</v>
      </c>
      <c r="H1778" s="9">
        <f t="shared" ref="H1778" si="224">G1778*$P$7</f>
        <v>2578.4216460000002</v>
      </c>
      <c r="I1778" s="9">
        <v>26.44</v>
      </c>
      <c r="J1778" s="9">
        <f>ROUND(H1778*(I1778/100+1),2)</f>
        <v>3260.16</v>
      </c>
      <c r="K1778" s="383">
        <v>0</v>
      </c>
      <c r="L1778" s="474">
        <f>F1778-K1778</f>
        <v>1</v>
      </c>
      <c r="M1778" s="471">
        <f t="shared" si="221"/>
        <v>3260.16</v>
      </c>
      <c r="N1778" s="405"/>
      <c r="O1778" s="541"/>
      <c r="P1778" s="405"/>
      <c r="Q1778" s="405"/>
      <c r="S1778" s="344" t="str">
        <f>UPPER(D1778)</f>
        <v>MONTAGEM HIDRÁULICA E HIDROMECÂNICA DE EQUIPAMENTOS, VÁLVULAS, TUBOS, PEÇAS E ACESSÓRIOS DA PORTARIA.</v>
      </c>
    </row>
    <row r="1779" spans="1:37">
      <c r="A1779" s="49"/>
      <c r="B1779" s="17"/>
      <c r="C1779" s="49"/>
      <c r="D1779" s="17"/>
      <c r="E1779" s="7"/>
      <c r="F1779" s="10"/>
      <c r="G1779" s="312"/>
      <c r="H1779" s="9"/>
      <c r="I1779" s="9"/>
      <c r="J1779" s="9"/>
      <c r="K1779" s="17"/>
      <c r="L1779" s="474"/>
      <c r="M1779" s="472"/>
      <c r="N1779" s="405"/>
      <c r="O1779" s="541"/>
      <c r="P1779" s="405"/>
      <c r="Q1779" s="405"/>
    </row>
    <row r="1780" spans="1:37" s="299" customFormat="1">
      <c r="A1780" s="297"/>
      <c r="B1780" s="298"/>
      <c r="C1780" s="298"/>
      <c r="D1780" s="341"/>
      <c r="E1780" s="297"/>
      <c r="F1780" s="298"/>
      <c r="G1780" s="301"/>
      <c r="H1780" s="338"/>
      <c r="I1780" s="298"/>
      <c r="J1780" s="298"/>
      <c r="K1780" s="341"/>
      <c r="L1780" s="474"/>
      <c r="M1780" s="471"/>
      <c r="N1780" s="405"/>
      <c r="O1780" s="541"/>
      <c r="P1780" s="405"/>
      <c r="Q1780" s="405"/>
      <c r="R1780" s="388"/>
      <c r="S1780" s="344" t="str">
        <f>UPPER(D1780)</f>
        <v/>
      </c>
      <c r="T1780" s="388"/>
      <c r="U1780" s="388"/>
      <c r="V1780" s="388"/>
      <c r="W1780" s="388"/>
      <c r="X1780" s="388"/>
      <c r="Y1780" s="388"/>
      <c r="Z1780" s="388"/>
      <c r="AA1780" s="388"/>
      <c r="AB1780" s="388"/>
      <c r="AC1780" s="388"/>
      <c r="AD1780" s="388"/>
      <c r="AE1780" s="388"/>
      <c r="AF1780" s="388"/>
      <c r="AG1780" s="388"/>
      <c r="AH1780" s="388"/>
      <c r="AI1780" s="388"/>
      <c r="AJ1780" s="388"/>
      <c r="AK1780" s="388"/>
    </row>
    <row r="1781" spans="1:37" s="415" customFormat="1">
      <c r="A1781" s="523"/>
      <c r="B1781" s="433"/>
      <c r="C1781" s="433"/>
      <c r="D1781" s="511" t="s">
        <v>2379</v>
      </c>
      <c r="E1781" s="523" t="s">
        <v>76</v>
      </c>
      <c r="F1781" s="433"/>
      <c r="G1781" s="524"/>
      <c r="H1781" s="418"/>
      <c r="I1781" s="433"/>
      <c r="J1781" s="433"/>
      <c r="K1781" s="511"/>
      <c r="L1781" s="476"/>
      <c r="M1781" s="505">
        <f>SUM(M1699:M1778)</f>
        <v>39623</v>
      </c>
      <c r="N1781" s="419"/>
      <c r="O1781" s="541"/>
      <c r="P1781" s="419"/>
      <c r="Q1781" s="419"/>
      <c r="R1781" s="414"/>
      <c r="S1781" s="414" t="str">
        <f>UPPER(D1781)</f>
        <v>TOTAL ITEM 31</v>
      </c>
      <c r="T1781" s="414"/>
      <c r="U1781" s="414"/>
      <c r="V1781" s="414"/>
      <c r="W1781" s="414"/>
      <c r="X1781" s="414"/>
      <c r="Y1781" s="414"/>
      <c r="Z1781" s="414"/>
      <c r="AA1781" s="414"/>
      <c r="AB1781" s="414"/>
      <c r="AC1781" s="414"/>
      <c r="AD1781" s="414"/>
      <c r="AE1781" s="414"/>
      <c r="AF1781" s="414"/>
      <c r="AG1781" s="414"/>
      <c r="AH1781" s="414"/>
      <c r="AI1781" s="414"/>
      <c r="AJ1781" s="414"/>
      <c r="AK1781" s="414"/>
    </row>
    <row r="1782" spans="1:37">
      <c r="A1782" s="296"/>
      <c r="B1782" s="44"/>
      <c r="C1782" s="44"/>
      <c r="D1782" s="438"/>
      <c r="E1782" s="296"/>
      <c r="F1782" s="44"/>
      <c r="G1782" s="302"/>
      <c r="H1782" s="339"/>
      <c r="I1782" s="44"/>
      <c r="J1782" s="44"/>
      <c r="K1782" s="383"/>
      <c r="L1782" s="474"/>
      <c r="M1782" s="471"/>
      <c r="N1782" s="405"/>
      <c r="O1782" s="541"/>
      <c r="P1782" s="405"/>
      <c r="Q1782" s="405"/>
    </row>
    <row r="1783" spans="1:37" s="450" customFormat="1">
      <c r="A1783" s="445" t="s">
        <v>1983</v>
      </c>
      <c r="B1783" s="446"/>
      <c r="C1783" s="447"/>
      <c r="D1783" s="448" t="s">
        <v>2006</v>
      </c>
      <c r="E1783" s="453" t="s">
        <v>76</v>
      </c>
      <c r="F1783" s="446"/>
      <c r="G1783" s="446"/>
      <c r="H1783" s="446"/>
      <c r="I1783" s="446"/>
      <c r="J1783" s="446"/>
      <c r="K1783" s="473"/>
      <c r="L1783" s="478"/>
      <c r="M1783" s="479"/>
      <c r="N1783" s="454"/>
      <c r="O1783" s="541"/>
      <c r="P1783" s="454"/>
      <c r="Q1783" s="454"/>
      <c r="S1783" s="450" t="str">
        <f t="shared" ref="S1783:S1811" si="225">UPPER(D1783)</f>
        <v>INSTALAÇÕES ELÉTRICAS (PORTARIA)</v>
      </c>
    </row>
    <row r="1784" spans="1:37" s="344" customFormat="1">
      <c r="A1784" s="45"/>
      <c r="B1784" s="57"/>
      <c r="C1784" s="45"/>
      <c r="D1784" s="53" t="s">
        <v>2300</v>
      </c>
      <c r="E1784" s="47" t="s">
        <v>76</v>
      </c>
      <c r="F1784" s="48"/>
      <c r="G1784" s="9"/>
      <c r="H1784" s="9"/>
      <c r="I1784" s="9"/>
      <c r="J1784" s="9"/>
      <c r="K1784" s="383"/>
      <c r="L1784" s="474"/>
      <c r="M1784" s="471"/>
      <c r="N1784" s="405"/>
      <c r="O1784" s="541"/>
      <c r="P1784" s="405"/>
      <c r="Q1784" s="405"/>
      <c r="S1784" s="344" t="str">
        <f t="shared" si="225"/>
        <v>MONTAGEM DE MATERIAIS E EQUIPAMENTOS ELÉTRICOS, DE AUTOMAÇÃO E DIVERSOS - PORTARIA</v>
      </c>
    </row>
    <row r="1785" spans="1:37" s="344" customFormat="1">
      <c r="A1785" s="45">
        <v>1</v>
      </c>
      <c r="B1785" s="57"/>
      <c r="C1785" s="45"/>
      <c r="D1785" s="53" t="s">
        <v>2301</v>
      </c>
      <c r="E1785" s="47" t="s">
        <v>76</v>
      </c>
      <c r="F1785" s="48"/>
      <c r="G1785" s="9"/>
      <c r="H1785" s="9"/>
      <c r="I1785" s="9"/>
      <c r="J1785" s="9"/>
      <c r="K1785" s="383"/>
      <c r="L1785" s="474"/>
      <c r="M1785" s="471"/>
      <c r="N1785" s="405"/>
      <c r="O1785" s="541"/>
      <c r="P1785" s="405"/>
      <c r="Q1785" s="405"/>
      <c r="S1785" s="344" t="str">
        <f t="shared" si="225"/>
        <v>MONTAGEM ELÉTRICA - PORTARIA</v>
      </c>
    </row>
    <row r="1786" spans="1:37" s="344" customFormat="1" hidden="1">
      <c r="A1786" s="49" t="s">
        <v>20</v>
      </c>
      <c r="B1786" s="60" t="s">
        <v>1802</v>
      </c>
      <c r="C1786" s="49"/>
      <c r="D1786" s="130" t="s">
        <v>2208</v>
      </c>
      <c r="E1786" s="7" t="s">
        <v>2340</v>
      </c>
      <c r="F1786" s="27">
        <v>1</v>
      </c>
      <c r="G1786" s="9">
        <v>1453.12</v>
      </c>
      <c r="H1786" s="9"/>
      <c r="I1786" s="131">
        <v>26.44</v>
      </c>
      <c r="J1786" s="131">
        <f>ROUND(H1786*(I1786/100+1),2)</f>
        <v>0</v>
      </c>
      <c r="K1786" s="383">
        <v>0</v>
      </c>
      <c r="L1786" s="474">
        <f>F1786-K1786</f>
        <v>1</v>
      </c>
      <c r="M1786" s="471">
        <f t="shared" ref="M1786:M1811" si="226">ROUND(L1786*J1786,2)</f>
        <v>0</v>
      </c>
      <c r="N1786" s="405"/>
      <c r="O1786" s="541"/>
      <c r="P1786" s="405"/>
      <c r="Q1786" s="405"/>
      <c r="S1786" s="344" t="str">
        <f t="shared" si="225"/>
        <v>MONTAGEM DE MATERIAS E EQUIPAMENTOS ELÉTRICOS</v>
      </c>
    </row>
    <row r="1787" spans="1:37" s="414" customFormat="1">
      <c r="A1787" s="410" t="s">
        <v>19</v>
      </c>
      <c r="B1787" s="641"/>
      <c r="C1787" s="410"/>
      <c r="D1787" s="429" t="s">
        <v>2090</v>
      </c>
      <c r="E1787" s="617" t="s">
        <v>76</v>
      </c>
      <c r="F1787" s="619"/>
      <c r="G1787" s="412"/>
      <c r="H1787" s="412"/>
      <c r="I1787" s="642"/>
      <c r="J1787" s="642"/>
      <c r="K1787" s="498"/>
      <c r="L1787" s="474"/>
      <c r="M1787" s="471"/>
      <c r="N1787" s="419"/>
      <c r="O1787" s="541"/>
      <c r="P1787" s="419"/>
      <c r="Q1787" s="419"/>
      <c r="S1787" s="414" t="str">
        <f t="shared" si="225"/>
        <v>FIOS E CABOS</v>
      </c>
    </row>
    <row r="1788" spans="1:37" s="344" customFormat="1">
      <c r="A1788" s="49" t="s">
        <v>147</v>
      </c>
      <c r="B1788" s="50">
        <f>'[3]Plan Tron'!B135</f>
        <v>390201</v>
      </c>
      <c r="C1788" s="57" t="str">
        <f>'[3]Plan Tron'!C135</f>
        <v>CPOS</v>
      </c>
      <c r="D1788" s="644" t="str">
        <f>UPPER('[3]Plan Tron'!D135)</f>
        <v>CABO DE COBRE DE 1,5 MM², ISOLAMENTO 750 V - ISOLAÇÃO EM PVC 70°C  COR BRANCO</v>
      </c>
      <c r="E1788" s="57" t="str">
        <f>'[3]Plan Tron'!E135</f>
        <v>M</v>
      </c>
      <c r="F1788" s="21">
        <v>100</v>
      </c>
      <c r="G1788" s="9">
        <f>G735</f>
        <v>1.73</v>
      </c>
      <c r="H1788" s="9">
        <f>'[3]Plan Tron'!F135</f>
        <v>1.62</v>
      </c>
      <c r="I1788" s="131">
        <v>26.44</v>
      </c>
      <c r="J1788" s="131">
        <f>ROUND(H1788*(I1788/100+1),2)</f>
        <v>2.0499999999999998</v>
      </c>
      <c r="K1788" s="383">
        <v>0</v>
      </c>
      <c r="L1788" s="474">
        <f t="shared" ref="L1788:L1797" si="227">F1788-K1788</f>
        <v>100</v>
      </c>
      <c r="M1788" s="471">
        <f t="shared" si="226"/>
        <v>205</v>
      </c>
      <c r="N1788" s="405"/>
      <c r="O1788" s="541"/>
      <c r="P1788" s="405"/>
      <c r="Q1788" s="405"/>
      <c r="S1788" s="344" t="str">
        <f t="shared" si="225"/>
        <v>CABO DE COBRE DE 1,5 MM², ISOLAMENTO 750 V - ISOLAÇÃO EM PVC 70°C  COR BRANCO</v>
      </c>
    </row>
    <row r="1789" spans="1:37" s="344" customFormat="1">
      <c r="A1789" s="49" t="s">
        <v>213</v>
      </c>
      <c r="B1789" s="50">
        <f>'[3]Plan Tron'!B136</f>
        <v>390201</v>
      </c>
      <c r="C1789" s="57" t="str">
        <f>'[3]Plan Tron'!C136</f>
        <v>CPOS</v>
      </c>
      <c r="D1789" s="644" t="str">
        <f>UPPER('[3]Plan Tron'!D136)</f>
        <v>CABO DE COBRE DE 1,5 MM², ISOLAMENTO 750 V - ISOLAÇÃO EM PVC 70°C  COR AMARELO</v>
      </c>
      <c r="E1789" s="57" t="str">
        <f>'[3]Plan Tron'!E136</f>
        <v>M</v>
      </c>
      <c r="F1789" s="21">
        <v>100</v>
      </c>
      <c r="G1789" s="9">
        <f>G735</f>
        <v>1.73</v>
      </c>
      <c r="H1789" s="9">
        <f>'[3]Plan Tron'!F136</f>
        <v>1.62</v>
      </c>
      <c r="I1789" s="131">
        <v>26.44</v>
      </c>
      <c r="J1789" s="131">
        <f t="shared" ref="J1789:J1800" si="228">ROUND(H1789*(I1789/100+1),2)</f>
        <v>2.0499999999999998</v>
      </c>
      <c r="K1789" s="383">
        <v>0</v>
      </c>
      <c r="L1789" s="474">
        <f t="shared" si="227"/>
        <v>100</v>
      </c>
      <c r="M1789" s="471">
        <f t="shared" si="226"/>
        <v>205</v>
      </c>
      <c r="N1789" s="405"/>
      <c r="O1789" s="541"/>
      <c r="P1789" s="405"/>
      <c r="Q1789" s="405"/>
      <c r="S1789" s="344" t="str">
        <f t="shared" si="225"/>
        <v>CABO DE COBRE DE 1,5 MM², ISOLAMENTO 750 V - ISOLAÇÃO EM PVC 70°C  COR AMARELO</v>
      </c>
    </row>
    <row r="1790" spans="1:37" s="344" customFormat="1">
      <c r="A1790" s="49" t="s">
        <v>212</v>
      </c>
      <c r="B1790" s="50">
        <f>'[3]Plan Tron'!B137</f>
        <v>390201</v>
      </c>
      <c r="C1790" s="57" t="str">
        <f>'[3]Plan Tron'!C137</f>
        <v>CPOS</v>
      </c>
      <c r="D1790" s="644" t="str">
        <f>UPPER('[3]Plan Tron'!D137)</f>
        <v>CABO DE COBRE DE 1,5 MM², ISOLAMENTO 750 V - ISOLAÇÃO EM PVC 70°C  COR AZUL</v>
      </c>
      <c r="E1790" s="57" t="str">
        <f>'[3]Plan Tron'!E137</f>
        <v>M</v>
      </c>
      <c r="F1790" s="21">
        <v>100</v>
      </c>
      <c r="G1790" s="9">
        <f>G735</f>
        <v>1.73</v>
      </c>
      <c r="H1790" s="9">
        <f>'[3]Plan Tron'!F137</f>
        <v>1.62</v>
      </c>
      <c r="I1790" s="131">
        <v>26.44</v>
      </c>
      <c r="J1790" s="131">
        <f t="shared" si="228"/>
        <v>2.0499999999999998</v>
      </c>
      <c r="K1790" s="383">
        <v>0</v>
      </c>
      <c r="L1790" s="474">
        <f t="shared" si="227"/>
        <v>100</v>
      </c>
      <c r="M1790" s="471">
        <f t="shared" si="226"/>
        <v>205</v>
      </c>
      <c r="N1790" s="405"/>
      <c r="O1790" s="541"/>
      <c r="P1790" s="405"/>
      <c r="Q1790" s="405"/>
      <c r="S1790" s="344" t="str">
        <f t="shared" si="225"/>
        <v>CABO DE COBRE DE 1,5 MM², ISOLAMENTO 750 V - ISOLAÇÃO EM PVC 70°C  COR AZUL</v>
      </c>
    </row>
    <row r="1791" spans="1:37" s="344" customFormat="1">
      <c r="A1791" s="49" t="s">
        <v>211</v>
      </c>
      <c r="B1791" s="50">
        <f>'[3]Plan Tron'!B138</f>
        <v>390201</v>
      </c>
      <c r="C1791" s="57" t="str">
        <f>'[3]Plan Tron'!C138</f>
        <v>CPOS</v>
      </c>
      <c r="D1791" s="644" t="str">
        <f>UPPER('[3]Plan Tron'!D138)</f>
        <v>CABO DE COBRE DE 1,5 MM², ISOLAMENTO 750 V - ISOLAÇÃO EM PVC 70°C  COR VERDE</v>
      </c>
      <c r="E1791" s="57" t="str">
        <f>'[3]Plan Tron'!E138</f>
        <v>M</v>
      </c>
      <c r="F1791" s="21">
        <v>100</v>
      </c>
      <c r="G1791" s="9">
        <f>G735</f>
        <v>1.73</v>
      </c>
      <c r="H1791" s="9">
        <f>'[3]Plan Tron'!F138</f>
        <v>1.62</v>
      </c>
      <c r="I1791" s="131">
        <v>26.44</v>
      </c>
      <c r="J1791" s="131">
        <f t="shared" si="228"/>
        <v>2.0499999999999998</v>
      </c>
      <c r="K1791" s="383">
        <v>0</v>
      </c>
      <c r="L1791" s="474">
        <f t="shared" si="227"/>
        <v>100</v>
      </c>
      <c r="M1791" s="471">
        <f t="shared" si="226"/>
        <v>205</v>
      </c>
      <c r="N1791" s="405"/>
      <c r="O1791" s="541"/>
      <c r="P1791" s="405"/>
      <c r="Q1791" s="405"/>
      <c r="S1791" s="344" t="str">
        <f t="shared" si="225"/>
        <v>CABO DE COBRE DE 1,5 MM², ISOLAMENTO 750 V - ISOLAÇÃO EM PVC 70°C  COR VERDE</v>
      </c>
    </row>
    <row r="1792" spans="1:37" s="344" customFormat="1">
      <c r="A1792" s="49" t="s">
        <v>208</v>
      </c>
      <c r="B1792" s="50">
        <f>'[3]Plan Tron'!B132</f>
        <v>390216</v>
      </c>
      <c r="C1792" s="57" t="str">
        <f>'[3]Plan Tron'!C132</f>
        <v>CPOS</v>
      </c>
      <c r="D1792" s="644" t="str">
        <f>UPPER('[3]Plan Tron'!D132)</f>
        <v>CABO DE COBRE DE 2,5 MM², ISOLAMENTO 750 V - ISOLAÇÃO EM PVC 70°C COR AZUL</v>
      </c>
      <c r="E1792" s="57" t="str">
        <f>'[3]Plan Tron'!E132</f>
        <v>M</v>
      </c>
      <c r="F1792" s="21">
        <v>100</v>
      </c>
      <c r="G1792" s="9">
        <f>G732</f>
        <v>2.2799999999999998</v>
      </c>
      <c r="H1792" s="9">
        <f>'[3]Plan Tron'!F132</f>
        <v>2.25</v>
      </c>
      <c r="I1792" s="131">
        <v>26.44</v>
      </c>
      <c r="J1792" s="131">
        <f t="shared" si="228"/>
        <v>2.84</v>
      </c>
      <c r="K1792" s="383">
        <v>0</v>
      </c>
      <c r="L1792" s="474">
        <f t="shared" si="227"/>
        <v>100</v>
      </c>
      <c r="M1792" s="471">
        <f t="shared" si="226"/>
        <v>284</v>
      </c>
      <c r="N1792" s="405"/>
      <c r="O1792" s="541"/>
      <c r="P1792" s="405"/>
      <c r="Q1792" s="405"/>
      <c r="S1792" s="344" t="str">
        <f t="shared" si="225"/>
        <v>CABO DE COBRE DE 2,5 MM², ISOLAMENTO 750 V - ISOLAÇÃO EM PVC 70°C COR AZUL</v>
      </c>
    </row>
    <row r="1793" spans="1:19" s="344" customFormat="1">
      <c r="A1793" s="49" t="s">
        <v>205</v>
      </c>
      <c r="B1793" s="50">
        <f>'[3]Plan Tron'!B133</f>
        <v>390216</v>
      </c>
      <c r="C1793" s="57" t="str">
        <f>'[3]Plan Tron'!C133</f>
        <v>CPOS</v>
      </c>
      <c r="D1793" s="644" t="str">
        <f>UPPER('[3]Plan Tron'!D133)</f>
        <v>CABO DE COBRE DE 2,5 MM², ISOLAMENTO 750 V - ISOLAÇÃO EM PVC 70°C COR PRETO</v>
      </c>
      <c r="E1793" s="57" t="str">
        <f>'[3]Plan Tron'!E133</f>
        <v>M</v>
      </c>
      <c r="F1793" s="21">
        <v>100</v>
      </c>
      <c r="G1793" s="9">
        <f>G732</f>
        <v>2.2799999999999998</v>
      </c>
      <c r="H1793" s="9">
        <f>'[3]Plan Tron'!F133</f>
        <v>2.25</v>
      </c>
      <c r="I1793" s="131">
        <v>26.44</v>
      </c>
      <c r="J1793" s="131">
        <f t="shared" si="228"/>
        <v>2.84</v>
      </c>
      <c r="K1793" s="383">
        <v>0</v>
      </c>
      <c r="L1793" s="474">
        <f t="shared" si="227"/>
        <v>100</v>
      </c>
      <c r="M1793" s="471">
        <f t="shared" si="226"/>
        <v>284</v>
      </c>
      <c r="N1793" s="405"/>
      <c r="O1793" s="541"/>
      <c r="P1793" s="405"/>
      <c r="Q1793" s="405"/>
      <c r="S1793" s="344" t="str">
        <f t="shared" si="225"/>
        <v>CABO DE COBRE DE 2,5 MM², ISOLAMENTO 750 V - ISOLAÇÃO EM PVC 70°C COR PRETO</v>
      </c>
    </row>
    <row r="1794" spans="1:19" s="344" customFormat="1">
      <c r="A1794" s="49" t="s">
        <v>204</v>
      </c>
      <c r="B1794" s="50">
        <f>'[3]Plan Tron'!B134</f>
        <v>390216</v>
      </c>
      <c r="C1794" s="57" t="str">
        <f>'[3]Plan Tron'!C134</f>
        <v>CPOS</v>
      </c>
      <c r="D1794" s="644" t="str">
        <f>UPPER('[3]Plan Tron'!D134)</f>
        <v>CABO DE COBRE DE 2,5 MM², ISOLAMENTO 750 V - ISOLAÇÃO EM PVC 70°C COR VERDE</v>
      </c>
      <c r="E1794" s="57" t="str">
        <f>'[3]Plan Tron'!E134</f>
        <v>M</v>
      </c>
      <c r="F1794" s="21">
        <v>100</v>
      </c>
      <c r="G1794" s="9">
        <f>G732</f>
        <v>2.2799999999999998</v>
      </c>
      <c r="H1794" s="9">
        <f>'[3]Plan Tron'!F134</f>
        <v>2.25</v>
      </c>
      <c r="I1794" s="131">
        <v>26.44</v>
      </c>
      <c r="J1794" s="131">
        <f t="shared" si="228"/>
        <v>2.84</v>
      </c>
      <c r="K1794" s="383">
        <v>0</v>
      </c>
      <c r="L1794" s="474">
        <f t="shared" si="227"/>
        <v>100</v>
      </c>
      <c r="M1794" s="471">
        <f t="shared" si="226"/>
        <v>284</v>
      </c>
      <c r="N1794" s="405"/>
      <c r="O1794" s="541"/>
      <c r="P1794" s="405"/>
      <c r="Q1794" s="405"/>
      <c r="S1794" s="344" t="str">
        <f t="shared" si="225"/>
        <v>CABO DE COBRE DE 2,5 MM², ISOLAMENTO 750 V - ISOLAÇÃO EM PVC 70°C COR VERDE</v>
      </c>
    </row>
    <row r="1795" spans="1:19" s="344" customFormat="1">
      <c r="A1795" s="49" t="s">
        <v>203</v>
      </c>
      <c r="B1795" s="50">
        <f>'[3]Plan Tron'!B142</f>
        <v>390203</v>
      </c>
      <c r="C1795" s="57" t="str">
        <f>'[3]Plan Tron'!C142</f>
        <v>CPOS</v>
      </c>
      <c r="D1795" s="644" t="str">
        <f>UPPER('[3]Plan Tron'!D142)</f>
        <v>CABO DE COBRE DE 6 MM², ISOLAMENTO 750 V - ISOLAÇÃO EM PVC 70°C  COR VERDE</v>
      </c>
      <c r="E1795" s="57" t="str">
        <f>'[3]Plan Tron'!E142</f>
        <v>M</v>
      </c>
      <c r="F1795" s="21">
        <v>100</v>
      </c>
      <c r="G1795" s="9">
        <f>G741</f>
        <v>4.51</v>
      </c>
      <c r="H1795" s="9">
        <f>'[3]Plan Tron'!F142</f>
        <v>3.78</v>
      </c>
      <c r="I1795" s="131">
        <v>26.44</v>
      </c>
      <c r="J1795" s="131">
        <f t="shared" si="228"/>
        <v>4.78</v>
      </c>
      <c r="K1795" s="383">
        <v>0</v>
      </c>
      <c r="L1795" s="474">
        <f t="shared" si="227"/>
        <v>100</v>
      </c>
      <c r="M1795" s="471">
        <f t="shared" si="226"/>
        <v>478</v>
      </c>
      <c r="N1795" s="405"/>
      <c r="O1795" s="541"/>
      <c r="P1795" s="405"/>
      <c r="Q1795" s="405"/>
      <c r="S1795" s="344" t="str">
        <f t="shared" si="225"/>
        <v>CABO DE COBRE DE 6 MM², ISOLAMENTO 750 V - ISOLAÇÃO EM PVC 70°C  COR VERDE</v>
      </c>
    </row>
    <row r="1796" spans="1:19" s="344" customFormat="1">
      <c r="A1796" s="49" t="s">
        <v>297</v>
      </c>
      <c r="B1796" s="50">
        <f>'[3]Plan Tron'!B143</f>
        <v>390203</v>
      </c>
      <c r="C1796" s="57" t="str">
        <f>'[3]Plan Tron'!C143</f>
        <v>CPOS</v>
      </c>
      <c r="D1796" s="644" t="str">
        <f>UPPER('[3]Plan Tron'!D143)</f>
        <v>CABO DE COBRE DE 6 MM², ISOLAMENTO 750 V - ISOLAÇÃO EM PVC 70°C  COR AZUL</v>
      </c>
      <c r="E1796" s="57" t="str">
        <f>'[3]Plan Tron'!E143</f>
        <v>M</v>
      </c>
      <c r="F1796" s="21">
        <v>100</v>
      </c>
      <c r="G1796" s="9">
        <f>G741</f>
        <v>4.51</v>
      </c>
      <c r="H1796" s="9">
        <f>'[3]Plan Tron'!F143</f>
        <v>3.78</v>
      </c>
      <c r="I1796" s="131">
        <v>26.44</v>
      </c>
      <c r="J1796" s="131">
        <f t="shared" si="228"/>
        <v>4.78</v>
      </c>
      <c r="K1796" s="383">
        <v>0</v>
      </c>
      <c r="L1796" s="474">
        <f t="shared" si="227"/>
        <v>100</v>
      </c>
      <c r="M1796" s="471">
        <f t="shared" si="226"/>
        <v>478</v>
      </c>
      <c r="N1796" s="405"/>
      <c r="O1796" s="541"/>
      <c r="P1796" s="405"/>
      <c r="Q1796" s="405"/>
      <c r="S1796" s="344" t="str">
        <f t="shared" si="225"/>
        <v>CABO DE COBRE DE 6 MM², ISOLAMENTO 750 V - ISOLAÇÃO EM PVC 70°C  COR AZUL</v>
      </c>
    </row>
    <row r="1797" spans="1:19" s="344" customFormat="1">
      <c r="A1797" s="49" t="s">
        <v>296</v>
      </c>
      <c r="B1797" s="50">
        <f>'[3]Plan Tron'!B144</f>
        <v>390203</v>
      </c>
      <c r="C1797" s="57" t="str">
        <f>'[3]Plan Tron'!C144</f>
        <v>CPOS</v>
      </c>
      <c r="D1797" s="644" t="str">
        <f>UPPER('[3]Plan Tron'!D144)</f>
        <v>CABO DE COBRE DE 6 MM², ISOLAMENTO 750 V - ISOLAÇÃO EM PVC 70°C  COR PRETO</v>
      </c>
      <c r="E1797" s="57" t="str">
        <f>'[3]Plan Tron'!E144</f>
        <v>M</v>
      </c>
      <c r="F1797" s="21">
        <v>100</v>
      </c>
      <c r="G1797" s="9">
        <f>G741</f>
        <v>4.51</v>
      </c>
      <c r="H1797" s="9">
        <f>'[3]Plan Tron'!F144</f>
        <v>3.78</v>
      </c>
      <c r="I1797" s="131">
        <v>26.44</v>
      </c>
      <c r="J1797" s="131">
        <f t="shared" si="228"/>
        <v>4.78</v>
      </c>
      <c r="K1797" s="383">
        <v>0</v>
      </c>
      <c r="L1797" s="474">
        <f t="shared" si="227"/>
        <v>100</v>
      </c>
      <c r="M1797" s="471">
        <f t="shared" si="226"/>
        <v>478</v>
      </c>
      <c r="N1797" s="405"/>
      <c r="O1797" s="541"/>
      <c r="P1797" s="405"/>
      <c r="Q1797" s="405"/>
      <c r="S1797" s="344" t="str">
        <f t="shared" si="225"/>
        <v>CABO DE COBRE DE 6 MM², ISOLAMENTO 750 V - ISOLAÇÃO EM PVC 70°C  COR PRETO</v>
      </c>
    </row>
    <row r="1798" spans="1:19" s="414" customFormat="1">
      <c r="A1798" s="410" t="s">
        <v>18</v>
      </c>
      <c r="B1798" s="641"/>
      <c r="C1798" s="410"/>
      <c r="D1798" s="429" t="s">
        <v>2091</v>
      </c>
      <c r="E1798" s="617" t="s">
        <v>76</v>
      </c>
      <c r="F1798" s="619"/>
      <c r="G1798" s="412"/>
      <c r="H1798" s="412"/>
      <c r="I1798" s="642"/>
      <c r="J1798" s="131"/>
      <c r="K1798" s="498"/>
      <c r="L1798" s="474"/>
      <c r="M1798" s="471"/>
      <c r="N1798" s="419"/>
      <c r="O1798" s="541"/>
      <c r="P1798" s="419"/>
      <c r="Q1798" s="419"/>
      <c r="S1798" s="414" t="str">
        <f t="shared" si="225"/>
        <v>ELETRODUTOS E AFINS</v>
      </c>
    </row>
    <row r="1799" spans="1:19" s="344" customFormat="1">
      <c r="A1799" s="49" t="s">
        <v>201</v>
      </c>
      <c r="B1799" s="49" t="str">
        <f>'[3]Plan Tron'!B53</f>
        <v xml:space="preserve">380404 </v>
      </c>
      <c r="C1799" s="49" t="str">
        <f>'[3]Plan Tron'!C53</f>
        <v>CPOS</v>
      </c>
      <c r="D1799" s="612" t="str">
        <f>'[3]Plan Tron'!D53</f>
        <v xml:space="preserve">ELETRODUTO DE FERRO GALVANIZADO, MÉDIO DE 3/4' - COM ACESSÓRIOS </v>
      </c>
      <c r="E1799" s="49" t="str">
        <f>'[3]Plan Tron'!E53</f>
        <v>M</v>
      </c>
      <c r="F1799" s="51">
        <v>54</v>
      </c>
      <c r="G1799" s="9">
        <v>19.86</v>
      </c>
      <c r="H1799" s="9">
        <f>'[3]Plan Tron'!F53</f>
        <v>20.7</v>
      </c>
      <c r="I1799" s="131">
        <v>26.44</v>
      </c>
      <c r="J1799" s="131">
        <f t="shared" si="228"/>
        <v>26.17</v>
      </c>
      <c r="K1799" s="383">
        <v>0</v>
      </c>
      <c r="L1799" s="474">
        <f>F1799-K1799</f>
        <v>54</v>
      </c>
      <c r="M1799" s="471">
        <f t="shared" si="226"/>
        <v>1413.18</v>
      </c>
      <c r="N1799" s="405"/>
      <c r="O1799" s="541"/>
      <c r="P1799" s="405"/>
      <c r="Q1799" s="405"/>
      <c r="S1799" s="344" t="str">
        <f t="shared" si="225"/>
        <v xml:space="preserve">ELETRODUTO DE FERRO GALVANIZADO, MÉDIO DE 3/4' - COM ACESSÓRIOS </v>
      </c>
    </row>
    <row r="1800" spans="1:19" s="344" customFormat="1">
      <c r="A1800" s="49" t="s">
        <v>198</v>
      </c>
      <c r="B1800" s="49" t="str">
        <f>'[3]Plan Tron'!B54</f>
        <v xml:space="preserve">380406 </v>
      </c>
      <c r="C1800" s="49" t="str">
        <f>'[3]Plan Tron'!C54</f>
        <v>CPOS</v>
      </c>
      <c r="D1800" s="612" t="str">
        <f>'[3]Plan Tron'!D54</f>
        <v xml:space="preserve">ELETRODUTO DE FERRO GALVANIZADO, MÉDIO DE 1' - COM ACESSÓRIOS </v>
      </c>
      <c r="E1800" s="49" t="str">
        <f>'[3]Plan Tron'!E54</f>
        <v>M</v>
      </c>
      <c r="F1800" s="51">
        <v>6</v>
      </c>
      <c r="G1800" s="9">
        <v>21.38</v>
      </c>
      <c r="H1800" s="9">
        <f>'[3]Plan Tron'!F54</f>
        <v>24.56</v>
      </c>
      <c r="I1800" s="131">
        <v>26.44</v>
      </c>
      <c r="J1800" s="131">
        <f t="shared" si="228"/>
        <v>31.05</v>
      </c>
      <c r="K1800" s="383">
        <v>0</v>
      </c>
      <c r="L1800" s="474">
        <f>F1800-K1800</f>
        <v>6</v>
      </c>
      <c r="M1800" s="471">
        <f t="shared" si="226"/>
        <v>186.3</v>
      </c>
      <c r="N1800" s="405"/>
      <c r="O1800" s="541"/>
      <c r="P1800" s="405"/>
      <c r="Q1800" s="405"/>
      <c r="S1800" s="344" t="str">
        <f t="shared" si="225"/>
        <v xml:space="preserve">ELETRODUTO DE FERRO GALVANIZADO, MÉDIO DE 1' - COM ACESSÓRIOS </v>
      </c>
    </row>
    <row r="1801" spans="1:19" s="344" customFormat="1">
      <c r="A1801" s="49" t="s">
        <v>390</v>
      </c>
      <c r="B1801" s="60" t="s">
        <v>1046</v>
      </c>
      <c r="C1801" s="49" t="s">
        <v>2015</v>
      </c>
      <c r="D1801" s="35" t="s">
        <v>2212</v>
      </c>
      <c r="E1801" s="7" t="s">
        <v>2338</v>
      </c>
      <c r="F1801" s="21">
        <v>8</v>
      </c>
      <c r="G1801" s="9">
        <v>9.01</v>
      </c>
      <c r="H1801" s="9">
        <f t="shared" ref="H1801:H1803" si="229">G1801*$P$7</f>
        <v>10.409253</v>
      </c>
      <c r="I1801" s="131">
        <v>26.44</v>
      </c>
      <c r="J1801" s="131">
        <f>ROUND(H1801*(I1801/100+1),2)</f>
        <v>13.16</v>
      </c>
      <c r="K1801" s="383">
        <v>0</v>
      </c>
      <c r="L1801" s="474">
        <f>F1801-K1801</f>
        <v>8</v>
      </c>
      <c r="M1801" s="471">
        <f t="shared" si="226"/>
        <v>105.28</v>
      </c>
      <c r="N1801" s="405"/>
      <c r="O1801" s="541"/>
      <c r="P1801" s="405"/>
      <c r="Q1801" s="405"/>
      <c r="S1801" s="344" t="str">
        <f t="shared" si="225"/>
        <v>CAIXA DE LIGAÇÃO ("CONDULETE"), TIPO "LL", Ø3/4", COM TAMPA CEGA.</v>
      </c>
    </row>
    <row r="1802" spans="1:19" s="344" customFormat="1">
      <c r="A1802" s="49" t="s">
        <v>387</v>
      </c>
      <c r="B1802" s="50" t="s">
        <v>1047</v>
      </c>
      <c r="C1802" s="49" t="s">
        <v>2015</v>
      </c>
      <c r="D1802" s="35" t="s">
        <v>2211</v>
      </c>
      <c r="E1802" s="7" t="s">
        <v>2338</v>
      </c>
      <c r="F1802" s="21">
        <v>7</v>
      </c>
      <c r="G1802" s="9">
        <v>9.82</v>
      </c>
      <c r="H1802" s="9">
        <f t="shared" si="229"/>
        <v>11.345046</v>
      </c>
      <c r="I1802" s="131">
        <v>26.44</v>
      </c>
      <c r="J1802" s="131">
        <f t="shared" ref="J1802:J1803" si="230">ROUND(H1802*(I1802/100+1),2)</f>
        <v>14.34</v>
      </c>
      <c r="K1802" s="383">
        <v>0</v>
      </c>
      <c r="L1802" s="474">
        <f>F1802-K1802</f>
        <v>7</v>
      </c>
      <c r="M1802" s="471">
        <f t="shared" si="226"/>
        <v>100.38</v>
      </c>
      <c r="N1802" s="405"/>
      <c r="O1802" s="541"/>
      <c r="P1802" s="405"/>
      <c r="Q1802" s="405"/>
      <c r="S1802" s="344" t="str">
        <f t="shared" si="225"/>
        <v>CAIXA DE LIGAÇÃO ("CONDULETE"), TIPO "T", Ø3/4", COM TAMPA CEGA.</v>
      </c>
    </row>
    <row r="1803" spans="1:19" s="344" customFormat="1">
      <c r="A1803" s="49" t="s">
        <v>384</v>
      </c>
      <c r="B1803" s="60" t="s">
        <v>1801</v>
      </c>
      <c r="C1803" s="49" t="s">
        <v>2015</v>
      </c>
      <c r="D1803" s="35" t="s">
        <v>2302</v>
      </c>
      <c r="E1803" s="7" t="s">
        <v>2338</v>
      </c>
      <c r="F1803" s="21">
        <v>1</v>
      </c>
      <c r="G1803" s="9">
        <v>10.6</v>
      </c>
      <c r="H1803" s="9">
        <f t="shared" si="229"/>
        <v>12.246179999999999</v>
      </c>
      <c r="I1803" s="131">
        <v>26.44</v>
      </c>
      <c r="J1803" s="131">
        <f t="shared" si="230"/>
        <v>15.48</v>
      </c>
      <c r="K1803" s="383">
        <v>0</v>
      </c>
      <c r="L1803" s="474">
        <f>F1803-K1803</f>
        <v>1</v>
      </c>
      <c r="M1803" s="471">
        <f t="shared" si="226"/>
        <v>15.48</v>
      </c>
      <c r="N1803" s="405"/>
      <c r="O1803" s="541"/>
      <c r="P1803" s="405"/>
      <c r="Q1803" s="405"/>
      <c r="S1803" s="344" t="str">
        <f t="shared" si="225"/>
        <v>CAIXA DE LIGAÇÃO ("CONDULETE"), TIPO "X", Ø3/4", COM TAMPA CEGA.</v>
      </c>
    </row>
    <row r="1804" spans="1:19" s="414" customFormat="1">
      <c r="A1804" s="410" t="s">
        <v>17</v>
      </c>
      <c r="B1804" s="641"/>
      <c r="C1804" s="410"/>
      <c r="D1804" s="420" t="s">
        <v>2152</v>
      </c>
      <c r="E1804" s="617" t="s">
        <v>76</v>
      </c>
      <c r="F1804" s="422"/>
      <c r="G1804" s="412"/>
      <c r="H1804" s="412"/>
      <c r="I1804" s="642"/>
      <c r="J1804" s="642"/>
      <c r="K1804" s="498"/>
      <c r="L1804" s="474"/>
      <c r="M1804" s="471"/>
      <c r="N1804" s="419"/>
      <c r="O1804" s="541"/>
      <c r="P1804" s="419"/>
      <c r="Q1804" s="419"/>
      <c r="S1804" s="414" t="str">
        <f t="shared" si="225"/>
        <v>ILUMINAÇÃO</v>
      </c>
    </row>
    <row r="1805" spans="1:19" s="344" customFormat="1" ht="25.5">
      <c r="A1805" s="49" t="s">
        <v>195</v>
      </c>
      <c r="B1805" s="50" t="str">
        <f>'[3]Plan Tron'!B97</f>
        <v xml:space="preserve">73953/006 </v>
      </c>
      <c r="C1805" s="57" t="str">
        <f>'[3]Plan Tron'!C97</f>
        <v>SINAPI</v>
      </c>
      <c r="D1805" s="643" t="str">
        <f>'[3]Plan Tron'!D97</f>
        <v>LUMINARIA TIPO CALHA, DE SOBREPOR, COM REATOR DE PARTIDA RAPIDA E LAMPADA FLUORESCENTE 2X40W, COMPLETA, FORNECIMENTO E INSTALACAO</v>
      </c>
      <c r="E1805" s="57" t="str">
        <f>'[3]Plan Tron'!E97</f>
        <v>UN.</v>
      </c>
      <c r="F1805" s="21">
        <v>4</v>
      </c>
      <c r="G1805" s="9">
        <v>73.319999999999993</v>
      </c>
      <c r="H1805" s="9">
        <f>'[3]Plan Tron'!F97</f>
        <v>95.01</v>
      </c>
      <c r="I1805" s="131">
        <v>26.44</v>
      </c>
      <c r="J1805" s="131">
        <f>ROUND(H1805*(I1805/100+1),2)</f>
        <v>120.13</v>
      </c>
      <c r="K1805" s="383">
        <v>0</v>
      </c>
      <c r="L1805" s="474">
        <f>F1805-K1805</f>
        <v>4</v>
      </c>
      <c r="M1805" s="471">
        <f t="shared" si="226"/>
        <v>480.52</v>
      </c>
      <c r="N1805" s="405"/>
      <c r="O1805" s="541"/>
      <c r="P1805" s="405"/>
      <c r="Q1805" s="405"/>
      <c r="S1805" s="344" t="str">
        <f t="shared" si="225"/>
        <v>LUMINARIA TIPO CALHA, DE SOBREPOR, COM REATOR DE PARTIDA RAPIDA E LAMPADA FLUORESCENTE 2X40W, COMPLETA, FORNECIMENTO E INSTALACAO</v>
      </c>
    </row>
    <row r="1806" spans="1:19" s="344" customFormat="1">
      <c r="A1806" s="49" t="s">
        <v>192</v>
      </c>
      <c r="B1806" s="50" t="str">
        <f>'[3]Plan Tron'!B147</f>
        <v xml:space="preserve">74041/002 </v>
      </c>
      <c r="C1806" s="57" t="str">
        <f>'[3]Plan Tron'!C147</f>
        <v>SINAPI</v>
      </c>
      <c r="D1806" s="644" t="str">
        <f>'[3]Plan Tron'!D147</f>
        <v xml:space="preserve">LUMINARIA GLOBO VIDRO LEITOSO/PLAFONIER/BOCAL/LAMPADA FLUORESCENTE 40W </v>
      </c>
      <c r="E1806" s="57" t="str">
        <f>'[3]Plan Tron'!E147</f>
        <v>UN.</v>
      </c>
      <c r="F1806" s="21">
        <v>3</v>
      </c>
      <c r="G1806" s="9">
        <v>37</v>
      </c>
      <c r="H1806" s="9">
        <f>'[3]Plan Tron'!F147</f>
        <v>63</v>
      </c>
      <c r="I1806" s="131">
        <v>26.44</v>
      </c>
      <c r="J1806" s="131">
        <f>ROUND(H1806*(I1806/100+1),2)</f>
        <v>79.66</v>
      </c>
      <c r="K1806" s="383">
        <v>0</v>
      </c>
      <c r="L1806" s="474">
        <f>F1806-K1806</f>
        <v>3</v>
      </c>
      <c r="M1806" s="471">
        <f t="shared" si="226"/>
        <v>238.98</v>
      </c>
      <c r="N1806" s="405"/>
      <c r="O1806" s="541"/>
      <c r="P1806" s="405"/>
      <c r="Q1806" s="405"/>
      <c r="S1806" s="344" t="str">
        <f t="shared" si="225"/>
        <v xml:space="preserve">LUMINARIA GLOBO VIDRO LEITOSO/PLAFONIER/BOCAL/LAMPADA FLUORESCENTE 40W </v>
      </c>
    </row>
    <row r="1807" spans="1:19" s="414" customFormat="1">
      <c r="A1807" s="410" t="s">
        <v>16</v>
      </c>
      <c r="B1807" s="641"/>
      <c r="C1807" s="410"/>
      <c r="D1807" s="429" t="s">
        <v>2215</v>
      </c>
      <c r="E1807" s="617" t="s">
        <v>76</v>
      </c>
      <c r="F1807" s="619"/>
      <c r="G1807" s="412"/>
      <c r="H1807" s="412"/>
      <c r="I1807" s="642"/>
      <c r="J1807" s="642"/>
      <c r="K1807" s="498"/>
      <c r="L1807" s="474"/>
      <c r="M1807" s="471"/>
      <c r="N1807" s="419"/>
      <c r="O1807" s="541"/>
      <c r="P1807" s="419"/>
      <c r="Q1807" s="419"/>
      <c r="S1807" s="414" t="str">
        <f t="shared" si="225"/>
        <v>ATERRAMENTO E SPDA</v>
      </c>
    </row>
    <row r="1808" spans="1:19" s="344" customFormat="1">
      <c r="A1808" s="49" t="s">
        <v>270</v>
      </c>
      <c r="B1808" s="49">
        <f>'[3]Plan Tron'!B63</f>
        <v>72254</v>
      </c>
      <c r="C1808" s="49" t="str">
        <f>'[3]Plan Tron'!C63</f>
        <v>SINAPI</v>
      </c>
      <c r="D1808" s="612" t="str">
        <f>'[3]Plan Tron'!D63</f>
        <v>CABO DE COBRE NU, SEÇÃO 50 MM², ENCORDOAMENTO CLASSE 2.</v>
      </c>
      <c r="E1808" s="49" t="str">
        <f>'[3]Plan Tron'!E63</f>
        <v>M</v>
      </c>
      <c r="F1808" s="21">
        <v>35</v>
      </c>
      <c r="G1808" s="9">
        <v>22.41</v>
      </c>
      <c r="H1808" s="9">
        <f>'[3]Plan Tron'!F63</f>
        <v>31.11</v>
      </c>
      <c r="I1808" s="131">
        <v>26.44</v>
      </c>
      <c r="J1808" s="131">
        <f>ROUND(H1808*(I1808/100+1),2)</f>
        <v>39.340000000000003</v>
      </c>
      <c r="K1808" s="383">
        <v>0</v>
      </c>
      <c r="L1808" s="474">
        <f>F1808-K1808</f>
        <v>35</v>
      </c>
      <c r="M1808" s="471">
        <f t="shared" si="226"/>
        <v>1376.9</v>
      </c>
      <c r="N1808" s="405"/>
      <c r="O1808" s="541"/>
      <c r="P1808" s="405"/>
      <c r="Q1808" s="405"/>
      <c r="S1808" s="344" t="str">
        <f t="shared" si="225"/>
        <v>CABO DE COBRE NU, SEÇÃO 50 MM², ENCORDOAMENTO CLASSE 2.</v>
      </c>
    </row>
    <row r="1809" spans="1:37" s="344" customFormat="1">
      <c r="A1809" s="49" t="s">
        <v>369</v>
      </c>
      <c r="B1809" s="49">
        <f>'[3]Plan Tron'!B148</f>
        <v>72315</v>
      </c>
      <c r="C1809" s="49" t="str">
        <f>'[3]Plan Tron'!C148</f>
        <v>SINAPI</v>
      </c>
      <c r="D1809" s="612" t="str">
        <f>'[3]Plan Tron'!D148</f>
        <v xml:space="preserve">TERMINAL AEREO EM ACO GALVANIZADO COM BASE DE FIXACAO H = 30CM </v>
      </c>
      <c r="E1809" s="49" t="str">
        <f>'[3]Plan Tron'!E148</f>
        <v>UN.</v>
      </c>
      <c r="F1809" s="21">
        <v>6</v>
      </c>
      <c r="G1809" s="9">
        <v>17.12</v>
      </c>
      <c r="H1809" s="9">
        <f>'[3]Plan Tron'!F148</f>
        <v>25.6</v>
      </c>
      <c r="I1809" s="131">
        <v>26.44</v>
      </c>
      <c r="J1809" s="131">
        <f>ROUND(H1809*(I1809/100+1),2)</f>
        <v>32.369999999999997</v>
      </c>
      <c r="K1809" s="383">
        <v>0</v>
      </c>
      <c r="L1809" s="474">
        <f>F1809-K1809</f>
        <v>6</v>
      </c>
      <c r="M1809" s="471">
        <f t="shared" si="226"/>
        <v>194.22</v>
      </c>
      <c r="N1809" s="405"/>
      <c r="O1809" s="541"/>
      <c r="P1809" s="405"/>
      <c r="Q1809" s="405"/>
      <c r="S1809" s="344" t="str">
        <f t="shared" si="225"/>
        <v xml:space="preserve">TERMINAL AEREO EM ACO GALVANIZADO COM BASE DE FIXACAO H = 30CM </v>
      </c>
    </row>
    <row r="1810" spans="1:37" s="344" customFormat="1">
      <c r="A1810" s="49" t="s">
        <v>367</v>
      </c>
      <c r="B1810" s="49">
        <f>'[3]Plan Tron'!B60</f>
        <v>83484</v>
      </c>
      <c r="C1810" s="49" t="str">
        <f>'[3]Plan Tron'!C60</f>
        <v>SINAPI</v>
      </c>
      <c r="D1810" s="612" t="str">
        <f>'[3]Plan Tron'!D60</f>
        <v>HASTE DE ATERRAMENTO DE AÇO COBREADO Ø3/4"X3,0M.</v>
      </c>
      <c r="E1810" s="49" t="str">
        <f>'[3]Plan Tron'!E60</f>
        <v>PÇ.</v>
      </c>
      <c r="F1810" s="21">
        <v>4</v>
      </c>
      <c r="G1810" s="9">
        <v>47.99</v>
      </c>
      <c r="H1810" s="9">
        <f>'[3]Plan Tron'!F60</f>
        <v>61.62</v>
      </c>
      <c r="I1810" s="131">
        <v>26.44</v>
      </c>
      <c r="J1810" s="131">
        <f>ROUND(H1810*(I1810/100+1),2)</f>
        <v>77.91</v>
      </c>
      <c r="K1810" s="383">
        <v>0</v>
      </c>
      <c r="L1810" s="474">
        <f>F1810-K1810</f>
        <v>4</v>
      </c>
      <c r="M1810" s="471">
        <f t="shared" si="226"/>
        <v>311.64</v>
      </c>
      <c r="N1810" s="405"/>
      <c r="O1810" s="541"/>
      <c r="P1810" s="405"/>
      <c r="Q1810" s="405"/>
      <c r="S1810" s="344" t="str">
        <f t="shared" si="225"/>
        <v>HASTE DE ATERRAMENTO DE AÇO COBREADO Ø3/4"X3,0M.</v>
      </c>
    </row>
    <row r="1811" spans="1:37" s="344" customFormat="1">
      <c r="A1811" s="49" t="s">
        <v>365</v>
      </c>
      <c r="B1811" s="49">
        <f>'[3]Plan Tron'!B149</f>
        <v>93009</v>
      </c>
      <c r="C1811" s="49" t="str">
        <f>'[3]Plan Tron'!C149</f>
        <v>SINAPI</v>
      </c>
      <c r="D1811" s="612" t="str">
        <f>'[3]Plan Tron'!D149</f>
        <v>ELETRODUTO RÍGIDO ROSCÁVEL, PVC, DN 60 MM (2") - FORNECIMENTO E INSTALAÇÃO. AF_12/2015</v>
      </c>
      <c r="E1811" s="49" t="str">
        <f>'[3]Plan Tron'!E149</f>
        <v>M</v>
      </c>
      <c r="F1811" s="21">
        <v>12</v>
      </c>
      <c r="G1811" s="9">
        <v>18.86</v>
      </c>
      <c r="H1811" s="9">
        <f>'[3]Plan Tron'!F149</f>
        <v>13.45</v>
      </c>
      <c r="I1811" s="131">
        <v>26.44</v>
      </c>
      <c r="J1811" s="131">
        <f>ROUND(H1811*(I1811/100+1),2)</f>
        <v>17.010000000000002</v>
      </c>
      <c r="K1811" s="383">
        <v>0</v>
      </c>
      <c r="L1811" s="474">
        <f>F1811-K1811</f>
        <v>12</v>
      </c>
      <c r="M1811" s="471">
        <f t="shared" si="226"/>
        <v>204.12</v>
      </c>
      <c r="N1811" s="405"/>
      <c r="O1811" s="541"/>
      <c r="P1811" s="405"/>
      <c r="Q1811" s="405"/>
      <c r="S1811" s="344" t="str">
        <f t="shared" si="225"/>
        <v>ELETRODUTO RÍGIDO ROSCÁVEL, PVC, DN 60 MM (2") - FORNECIMENTO E INSTALAÇÃO. AF_12/2015</v>
      </c>
    </row>
    <row r="1812" spans="1:37">
      <c r="A1812" s="49"/>
      <c r="B1812" s="57"/>
      <c r="C1812" s="49"/>
      <c r="D1812" s="65"/>
      <c r="E1812" s="18"/>
      <c r="F1812" s="36"/>
      <c r="G1812" s="316"/>
      <c r="H1812" s="20"/>
      <c r="I1812" s="20"/>
      <c r="J1812" s="20"/>
      <c r="K1812" s="65"/>
      <c r="L1812" s="474"/>
      <c r="M1812" s="472"/>
      <c r="N1812" s="405"/>
      <c r="O1812" s="541"/>
      <c r="P1812" s="405"/>
      <c r="Q1812" s="405"/>
    </row>
    <row r="1813" spans="1:37" s="299" customFormat="1">
      <c r="A1813" s="297"/>
      <c r="B1813" s="298"/>
      <c r="C1813" s="298"/>
      <c r="D1813" s="506"/>
      <c r="E1813" s="297"/>
      <c r="F1813" s="298"/>
      <c r="G1813" s="301"/>
      <c r="H1813" s="338"/>
      <c r="I1813" s="298"/>
      <c r="J1813" s="298"/>
      <c r="K1813" s="341"/>
      <c r="L1813" s="474"/>
      <c r="M1813" s="471"/>
      <c r="N1813" s="405"/>
      <c r="O1813" s="541"/>
      <c r="P1813" s="405"/>
      <c r="Q1813" s="405"/>
      <c r="R1813" s="388"/>
      <c r="S1813" s="344" t="str">
        <f>UPPER(D1813)</f>
        <v/>
      </c>
      <c r="T1813" s="388"/>
      <c r="U1813" s="388"/>
      <c r="V1813" s="388"/>
      <c r="W1813" s="388"/>
      <c r="X1813" s="388"/>
      <c r="Y1813" s="388"/>
      <c r="Z1813" s="388"/>
      <c r="AA1813" s="388"/>
      <c r="AB1813" s="388"/>
      <c r="AC1813" s="388"/>
      <c r="AD1813" s="388"/>
      <c r="AE1813" s="388"/>
      <c r="AF1813" s="388"/>
      <c r="AG1813" s="388"/>
      <c r="AH1813" s="388"/>
      <c r="AI1813" s="388"/>
      <c r="AJ1813" s="388"/>
      <c r="AK1813" s="388"/>
    </row>
    <row r="1814" spans="1:37" s="535" customFormat="1">
      <c r="A1814" s="531"/>
      <c r="B1814" s="532"/>
      <c r="C1814" s="532"/>
      <c r="D1814" s="511" t="s">
        <v>2380</v>
      </c>
      <c r="E1814" s="531" t="s">
        <v>76</v>
      </c>
      <c r="F1814" s="532"/>
      <c r="G1814" s="533"/>
      <c r="H1814" s="782"/>
      <c r="I1814" s="532"/>
      <c r="J1814" s="532"/>
      <c r="K1814" s="511"/>
      <c r="L1814" s="476"/>
      <c r="M1814" s="505">
        <f>SUM(M1786:M1811)</f>
        <v>7732.9999999999991</v>
      </c>
      <c r="N1814" s="419"/>
      <c r="O1814" s="541"/>
      <c r="P1814" s="419"/>
      <c r="Q1814" s="419"/>
      <c r="R1814" s="534"/>
      <c r="S1814" s="414" t="str">
        <f>UPPER(D1814)</f>
        <v>TOTAL ITEM 31.2</v>
      </c>
      <c r="T1814" s="534"/>
      <c r="U1814" s="534"/>
      <c r="V1814" s="534"/>
      <c r="W1814" s="534"/>
      <c r="X1814" s="534"/>
      <c r="Y1814" s="534"/>
      <c r="Z1814" s="534"/>
      <c r="AA1814" s="534"/>
      <c r="AB1814" s="534"/>
      <c r="AC1814" s="534"/>
      <c r="AD1814" s="534"/>
      <c r="AE1814" s="534"/>
      <c r="AF1814" s="534"/>
      <c r="AG1814" s="534"/>
      <c r="AH1814" s="534"/>
      <c r="AI1814" s="534"/>
      <c r="AJ1814" s="534"/>
      <c r="AK1814" s="534"/>
    </row>
    <row r="1815" spans="1:37" s="299" customFormat="1">
      <c r="A1815" s="297"/>
      <c r="B1815" s="298"/>
      <c r="C1815" s="298"/>
      <c r="D1815" s="442"/>
      <c r="E1815" s="297"/>
      <c r="F1815" s="298"/>
      <c r="G1815" s="301"/>
      <c r="H1815" s="338"/>
      <c r="I1815" s="298"/>
      <c r="J1815" s="298"/>
      <c r="K1815" s="341"/>
      <c r="L1815" s="474"/>
      <c r="M1815" s="471"/>
      <c r="N1815" s="405"/>
      <c r="O1815" s="541"/>
      <c r="P1815" s="405"/>
      <c r="Q1815" s="405"/>
      <c r="R1815" s="388"/>
      <c r="S1815" s="344"/>
      <c r="T1815" s="388"/>
      <c r="U1815" s="388"/>
      <c r="V1815" s="388"/>
      <c r="W1815" s="388"/>
      <c r="X1815" s="388"/>
      <c r="Y1815" s="388"/>
      <c r="Z1815" s="388"/>
      <c r="AA1815" s="388"/>
      <c r="AB1815" s="388"/>
      <c r="AC1815" s="388"/>
      <c r="AD1815" s="388"/>
      <c r="AE1815" s="388"/>
      <c r="AF1815" s="388"/>
      <c r="AG1815" s="388"/>
      <c r="AH1815" s="388"/>
      <c r="AI1815" s="388"/>
      <c r="AJ1815" s="388"/>
      <c r="AK1815" s="388"/>
    </row>
    <row r="1816" spans="1:37" s="450" customFormat="1">
      <c r="A1816" s="445">
        <v>33</v>
      </c>
      <c r="B1816" s="446"/>
      <c r="C1816" s="447"/>
      <c r="D1816" s="448" t="s">
        <v>1984</v>
      </c>
      <c r="E1816" s="453" t="s">
        <v>76</v>
      </c>
      <c r="F1816" s="446"/>
      <c r="G1816" s="446"/>
      <c r="H1816" s="446"/>
      <c r="I1816" s="446"/>
      <c r="J1816" s="446"/>
      <c r="K1816" s="473"/>
      <c r="L1816" s="478"/>
      <c r="M1816" s="479"/>
      <c r="N1816" s="454"/>
      <c r="O1816" s="541"/>
      <c r="P1816" s="454"/>
      <c r="Q1816" s="454"/>
      <c r="S1816" s="450" t="str">
        <f t="shared" ref="S1816:S1827" si="231">UPPER(D1816)</f>
        <v>SALA DO QDG</v>
      </c>
    </row>
    <row r="1817" spans="1:37" s="450" customFormat="1">
      <c r="A1817" s="445" t="s">
        <v>24</v>
      </c>
      <c r="B1817" s="446"/>
      <c r="C1817" s="447"/>
      <c r="D1817" s="448" t="s">
        <v>1984</v>
      </c>
      <c r="E1817" s="453" t="s">
        <v>76</v>
      </c>
      <c r="F1817" s="446"/>
      <c r="G1817" s="446"/>
      <c r="H1817" s="446"/>
      <c r="I1817" s="446"/>
      <c r="J1817" s="446"/>
      <c r="K1817" s="473"/>
      <c r="L1817" s="478"/>
      <c r="M1817" s="479"/>
      <c r="N1817" s="454"/>
      <c r="O1817" s="541"/>
      <c r="P1817" s="454"/>
      <c r="Q1817" s="454"/>
      <c r="S1817" s="450" t="str">
        <f t="shared" si="231"/>
        <v>SALA DO QDG</v>
      </c>
    </row>
    <row r="1818" spans="1:37" s="344" customFormat="1" hidden="1">
      <c r="A1818" s="45">
        <v>1</v>
      </c>
      <c r="B1818" s="11"/>
      <c r="C1818" s="45"/>
      <c r="D1818" s="53" t="s">
        <v>2038</v>
      </c>
      <c r="E1818" s="7" t="s">
        <v>76</v>
      </c>
      <c r="F1818" s="8"/>
      <c r="G1818" s="9"/>
      <c r="H1818" s="9"/>
      <c r="I1818" s="9"/>
      <c r="J1818" s="9"/>
      <c r="K1818" s="383"/>
      <c r="L1818" s="474"/>
      <c r="M1818" s="471"/>
      <c r="N1818" s="405"/>
      <c r="O1818" s="541"/>
      <c r="P1818" s="405"/>
      <c r="Q1818" s="405"/>
      <c r="S1818" s="344" t="str">
        <f t="shared" si="231"/>
        <v>MOVIMENTO DE TERRA</v>
      </c>
    </row>
    <row r="1819" spans="1:37" s="414" customFormat="1" hidden="1">
      <c r="A1819" s="410" t="s">
        <v>20</v>
      </c>
      <c r="B1819" s="411"/>
      <c r="C1819" s="410"/>
      <c r="D1819" s="626" t="s">
        <v>2041</v>
      </c>
      <c r="E1819" s="617" t="s">
        <v>76</v>
      </c>
      <c r="F1819" s="618"/>
      <c r="G1819" s="412"/>
      <c r="H1819" s="412"/>
      <c r="I1819" s="412"/>
      <c r="J1819" s="412"/>
      <c r="K1819" s="498"/>
      <c r="L1819" s="474"/>
      <c r="M1819" s="471"/>
      <c r="N1819" s="419"/>
      <c r="O1819" s="541"/>
      <c r="P1819" s="419"/>
      <c r="Q1819" s="419"/>
      <c r="S1819" s="414" t="str">
        <f t="shared" si="231"/>
        <v>ESCAVAÇÃO DE VALAS</v>
      </c>
    </row>
    <row r="1820" spans="1:37" s="414" customFormat="1" hidden="1">
      <c r="A1820" s="410" t="s">
        <v>153</v>
      </c>
      <c r="B1820" s="411"/>
      <c r="C1820" s="410"/>
      <c r="D1820" s="626" t="s">
        <v>2303</v>
      </c>
      <c r="E1820" s="617" t="s">
        <v>76</v>
      </c>
      <c r="F1820" s="618"/>
      <c r="G1820" s="412"/>
      <c r="H1820" s="412"/>
      <c r="I1820" s="412"/>
      <c r="J1820" s="412"/>
      <c r="K1820" s="498"/>
      <c r="L1820" s="474"/>
      <c r="M1820" s="471"/>
      <c r="N1820" s="419"/>
      <c r="O1820" s="541"/>
      <c r="P1820" s="419"/>
      <c r="Q1820" s="419"/>
      <c r="S1820" s="414" t="str">
        <f t="shared" si="231"/>
        <v xml:space="preserve">ESCAVAÇÃO MANUAL DE VALAS </v>
      </c>
    </row>
    <row r="1821" spans="1:37" s="344" customFormat="1" hidden="1">
      <c r="A1821" s="49" t="s">
        <v>152</v>
      </c>
      <c r="B1821" s="49">
        <f>'[3]Plan Tron'!B7</f>
        <v>60202</v>
      </c>
      <c r="C1821" s="49" t="str">
        <f>'[3]Plan Tron'!C7</f>
        <v>CPOS</v>
      </c>
      <c r="D1821" s="612" t="str">
        <f>'[3]Plan Tron'!D7</f>
        <v xml:space="preserve">ESCAVAÇÃO MANUAL EM SOLO DE 1ª E 2ª CATEGORIA EM VALA OU CAVA ATÉ 1,50M </v>
      </c>
      <c r="E1821" s="49" t="str">
        <f>'[3]Plan Tron'!E7</f>
        <v>M³</v>
      </c>
      <c r="F1821" s="21">
        <v>98.53</v>
      </c>
      <c r="G1821" s="27">
        <v>34.450000000000003</v>
      </c>
      <c r="H1821" s="27">
        <f>'[3]Plan Tron'!F7</f>
        <v>34.020000000000003</v>
      </c>
      <c r="I1821" s="27">
        <v>26.44</v>
      </c>
      <c r="J1821" s="27">
        <f>ROUND(H1821*(I1821/100+1),2)</f>
        <v>43.01</v>
      </c>
      <c r="K1821" s="383">
        <v>98.53</v>
      </c>
      <c r="L1821" s="474">
        <f>F1821-K1821</f>
        <v>0</v>
      </c>
      <c r="M1821" s="471">
        <f t="shared" ref="M1821:M1826" si="232">ROUND(L1821*J1821,2)</f>
        <v>0</v>
      </c>
      <c r="N1821" s="405"/>
      <c r="O1821" s="541"/>
      <c r="P1821" s="405"/>
      <c r="Q1821" s="405"/>
      <c r="S1821" s="344" t="str">
        <f t="shared" si="231"/>
        <v xml:space="preserve">ESCAVAÇÃO MANUAL EM SOLO DE 1ª E 2ª CATEGORIA EM VALA OU CAVA ATÉ 1,50M </v>
      </c>
    </row>
    <row r="1822" spans="1:37" s="414" customFormat="1" hidden="1">
      <c r="A1822" s="410" t="s">
        <v>151</v>
      </c>
      <c r="B1822" s="625"/>
      <c r="C1822" s="410"/>
      <c r="D1822" s="429" t="s">
        <v>2304</v>
      </c>
      <c r="E1822" s="617" t="s">
        <v>76</v>
      </c>
      <c r="F1822" s="628"/>
      <c r="G1822" s="437"/>
      <c r="H1822" s="437"/>
      <c r="I1822" s="619"/>
      <c r="J1822" s="619"/>
      <c r="K1822" s="498"/>
      <c r="L1822" s="474"/>
      <c r="M1822" s="471"/>
      <c r="N1822" s="419"/>
      <c r="O1822" s="541"/>
      <c r="P1822" s="419"/>
      <c r="Q1822" s="419"/>
      <c r="S1822" s="414" t="str">
        <f t="shared" si="231"/>
        <v>ATERRO / REATERRO DE VALAS SEM OU COM COMPACTAÇÃO</v>
      </c>
    </row>
    <row r="1823" spans="1:37" s="414" customFormat="1" hidden="1">
      <c r="A1823" s="624" t="s">
        <v>150</v>
      </c>
      <c r="B1823" s="411"/>
      <c r="C1823" s="410"/>
      <c r="D1823" s="629" t="s">
        <v>2305</v>
      </c>
      <c r="E1823" s="630" t="s">
        <v>76</v>
      </c>
      <c r="F1823" s="618"/>
      <c r="G1823" s="437"/>
      <c r="H1823" s="437"/>
      <c r="I1823" s="619"/>
      <c r="J1823" s="619"/>
      <c r="K1823" s="498"/>
      <c r="L1823" s="474"/>
      <c r="M1823" s="471"/>
      <c r="N1823" s="419"/>
      <c r="O1823" s="541"/>
      <c r="P1823" s="419"/>
      <c r="Q1823" s="419"/>
      <c r="S1823" s="414" t="str">
        <f t="shared" si="231"/>
        <v>ATERRO / REATERRO DE VALAS</v>
      </c>
    </row>
    <row r="1824" spans="1:37" s="344" customFormat="1" ht="25.5" hidden="1">
      <c r="A1824" s="155" t="s">
        <v>1828</v>
      </c>
      <c r="B1824" s="49" t="str">
        <f>'[3]Plan Tron'!B64</f>
        <v xml:space="preserve">74005/002 </v>
      </c>
      <c r="C1824" s="49" t="str">
        <f>'[3]Plan Tron'!C64</f>
        <v>SINAPI</v>
      </c>
      <c r="D1824" s="614" t="str">
        <f>'[3]Plan Tron'!D64</f>
        <v>COMPACTACAO MECANICA C/ CONTROLE DO GC&gt;=95% DO PN (AREAS) (C/MONIVELADORA 140 HP E ROLO COMPRESSOR VIBRATORIO 80 HP)</v>
      </c>
      <c r="E1824" s="49" t="str">
        <f>'[3]Plan Tron'!E64</f>
        <v>M³</v>
      </c>
      <c r="F1824" s="175">
        <v>95.88</v>
      </c>
      <c r="G1824" s="172">
        <v>13.65</v>
      </c>
      <c r="H1824" s="172">
        <f>'[3]Plan Tron'!F64</f>
        <v>4.83</v>
      </c>
      <c r="I1824" s="27">
        <v>26.44</v>
      </c>
      <c r="J1824" s="27">
        <f>ROUND(H1824*(I1824/100+1),2)</f>
        <v>6.11</v>
      </c>
      <c r="K1824" s="383">
        <v>95.88</v>
      </c>
      <c r="L1824" s="474">
        <f>F1824-K1824</f>
        <v>0</v>
      </c>
      <c r="M1824" s="471">
        <f t="shared" si="232"/>
        <v>0</v>
      </c>
      <c r="N1824" s="405"/>
      <c r="O1824" s="541"/>
      <c r="P1824" s="405"/>
      <c r="Q1824" s="405"/>
      <c r="S1824" s="344" t="str">
        <f t="shared" si="231"/>
        <v>COMPACTACAO MECANICA C/ CONTROLE DO GC&gt;=95% DO PN (AREAS) (C/MONIVELADORA 140 HP E ROLO COMPRESSOR VIBRATORIO 80 HP)</v>
      </c>
    </row>
    <row r="1825" spans="1:19" s="414" customFormat="1" hidden="1">
      <c r="A1825" s="624" t="s">
        <v>149</v>
      </c>
      <c r="B1825" s="411"/>
      <c r="C1825" s="410"/>
      <c r="D1825" s="629" t="s">
        <v>2306</v>
      </c>
      <c r="E1825" s="617" t="s">
        <v>76</v>
      </c>
      <c r="F1825" s="618"/>
      <c r="G1825" s="437"/>
      <c r="H1825" s="437"/>
      <c r="I1825" s="619"/>
      <c r="J1825" s="619"/>
      <c r="K1825" s="498"/>
      <c r="L1825" s="474"/>
      <c r="M1825" s="471"/>
      <c r="N1825" s="419"/>
      <c r="O1825" s="541"/>
      <c r="P1825" s="419"/>
      <c r="Q1825" s="419"/>
      <c r="S1825" s="414" t="str">
        <f t="shared" si="231"/>
        <v>CARGA,  DESCARGA  E/ OU  TRANSPORTE  DE  MATERIAIS</v>
      </c>
    </row>
    <row r="1826" spans="1:19" s="344" customFormat="1" hidden="1">
      <c r="A1826" s="155" t="s">
        <v>148</v>
      </c>
      <c r="B1826" s="49">
        <f>'[3]Plan Tron'!B13</f>
        <v>72885</v>
      </c>
      <c r="C1826" s="49" t="str">
        <f>'[3]Plan Tron'!C13</f>
        <v>SINAPI</v>
      </c>
      <c r="D1826" s="614" t="str">
        <f>'[3]Plan Tron'!D13</f>
        <v>TRANSPORTE COMERCIAL COM CAMINHAO BASCULANTE 6 M3, RODOVIA EM LEITO NATURAL</v>
      </c>
      <c r="E1826" s="49" t="str">
        <f>'[3]Plan Tron'!E13</f>
        <v>M³ X KM</v>
      </c>
      <c r="F1826" s="175">
        <v>16.55</v>
      </c>
      <c r="G1826" s="175">
        <v>1.03</v>
      </c>
      <c r="H1826" s="175">
        <f>'[3]Plan Tron'!F13</f>
        <v>1.37</v>
      </c>
      <c r="I1826" s="27">
        <v>26.44</v>
      </c>
      <c r="J1826" s="27">
        <f>ROUND(H1826*(I1826/100+1),2)</f>
        <v>1.73</v>
      </c>
      <c r="K1826" s="474">
        <v>16.55</v>
      </c>
      <c r="L1826" s="474">
        <f>F1826-K1826</f>
        <v>0</v>
      </c>
      <c r="M1826" s="471">
        <f t="shared" si="232"/>
        <v>0</v>
      </c>
      <c r="N1826" s="405"/>
      <c r="O1826" s="541"/>
      <c r="P1826" s="405"/>
      <c r="Q1826" s="405"/>
      <c r="S1826" s="344" t="str">
        <f t="shared" si="231"/>
        <v>TRANSPORTE COMERCIAL COM CAMINHAO BASCULANTE 6 M3, RODOVIA EM LEITO NATURAL</v>
      </c>
    </row>
    <row r="1827" spans="1:19" s="390" customFormat="1" ht="25.5" hidden="1">
      <c r="A1827" s="155" t="s">
        <v>1656</v>
      </c>
      <c r="B1827" s="49">
        <f>'[3]Plan Tron'!B14</f>
        <v>72888</v>
      </c>
      <c r="C1827" s="49" t="str">
        <f>'[3]Plan Tron'!C14</f>
        <v>SINAPI</v>
      </c>
      <c r="D1827" s="614" t="str">
        <f>'[3]Plan Tron'!D14</f>
        <v>CARGA, MANOBRAS E DESCARGA DE AREIA, BRITA, PEDRA DE MAO E SOLOS COM CAMINHAO BASCULANTE 6 M3 (DESCARGA LIVRE)</v>
      </c>
      <c r="E1827" s="49" t="str">
        <f>'[3]Plan Tron'!E14</f>
        <v>M³</v>
      </c>
      <c r="F1827" s="175">
        <v>3.31</v>
      </c>
      <c r="G1827" s="172">
        <v>0.81</v>
      </c>
      <c r="H1827" s="175">
        <f>'[3]Plan Tron'!F14</f>
        <v>0.96</v>
      </c>
      <c r="I1827" s="27">
        <v>26.44</v>
      </c>
      <c r="J1827" s="27">
        <f>ROUND(H1827*(I1827/100+1),2)</f>
        <v>1.21</v>
      </c>
      <c r="K1827" s="631">
        <v>4.3100000000000005</v>
      </c>
      <c r="L1827" s="632">
        <f>F1827-K1827</f>
        <v>-1.0000000000000004</v>
      </c>
      <c r="M1827" s="471"/>
      <c r="N1827" s="633"/>
      <c r="O1827" s="634"/>
      <c r="P1827" s="633"/>
      <c r="Q1827" s="633"/>
      <c r="S1827" s="390" t="str">
        <f t="shared" si="231"/>
        <v>CARGA, MANOBRAS E DESCARGA DE AREIA, BRITA, PEDRA DE MAO E SOLOS COM CAMINHAO BASCULANTE 6 M3 (DESCARGA LIVRE)</v>
      </c>
    </row>
    <row r="1828" spans="1:19" s="344" customFormat="1">
      <c r="A1828" s="155"/>
      <c r="B1828" s="11"/>
      <c r="C1828" s="155"/>
      <c r="D1828" s="17"/>
      <c r="E1828" s="157"/>
      <c r="F1828" s="175"/>
      <c r="G1828" s="172"/>
      <c r="H1828" s="172"/>
      <c r="I1828" s="27"/>
      <c r="J1828" s="27"/>
      <c r="K1828" s="17"/>
      <c r="L1828" s="474"/>
      <c r="M1828" s="472"/>
      <c r="N1828" s="405"/>
      <c r="O1828" s="541"/>
      <c r="P1828" s="405"/>
      <c r="Q1828" s="405"/>
    </row>
    <row r="1829" spans="1:19" s="344" customFormat="1">
      <c r="A1829" s="155"/>
      <c r="B1829" s="11"/>
      <c r="C1829" s="155"/>
      <c r="D1829" s="130" t="s">
        <v>76</v>
      </c>
      <c r="E1829" s="157" t="s">
        <v>76</v>
      </c>
      <c r="F1829" s="175"/>
      <c r="G1829" s="172"/>
      <c r="H1829" s="172"/>
      <c r="I1829" s="27"/>
      <c r="J1829" s="27"/>
      <c r="K1829" s="383"/>
      <c r="L1829" s="474"/>
      <c r="M1829" s="471"/>
      <c r="N1829" s="405"/>
      <c r="O1829" s="541"/>
      <c r="P1829" s="405"/>
      <c r="Q1829" s="405"/>
      <c r="S1829" s="344" t="str">
        <f t="shared" ref="S1829:S1850" si="233">UPPER(D1829)</f>
        <v/>
      </c>
    </row>
    <row r="1830" spans="1:19" s="344" customFormat="1">
      <c r="A1830" s="45">
        <v>2</v>
      </c>
      <c r="B1830" s="176"/>
      <c r="C1830" s="45"/>
      <c r="D1830" s="399" t="s">
        <v>2307</v>
      </c>
      <c r="E1830" s="177" t="s">
        <v>76</v>
      </c>
      <c r="F1830" s="178"/>
      <c r="G1830" s="635"/>
      <c r="H1830" s="635"/>
      <c r="I1830" s="27"/>
      <c r="J1830" s="27"/>
      <c r="K1830" s="383"/>
      <c r="L1830" s="474"/>
      <c r="M1830" s="471"/>
      <c r="N1830" s="405"/>
      <c r="O1830" s="541"/>
      <c r="P1830" s="405"/>
      <c r="Q1830" s="405"/>
      <c r="S1830" s="344" t="str">
        <f t="shared" si="233"/>
        <v>FUNDAÇÕES E ESTRUTURA</v>
      </c>
    </row>
    <row r="1831" spans="1:19" s="414" customFormat="1">
      <c r="A1831" s="410" t="s">
        <v>9</v>
      </c>
      <c r="B1831" s="636"/>
      <c r="C1831" s="410"/>
      <c r="D1831" s="626" t="s">
        <v>2112</v>
      </c>
      <c r="E1831" s="627" t="s">
        <v>76</v>
      </c>
      <c r="F1831" s="618"/>
      <c r="G1831" s="437"/>
      <c r="H1831" s="437"/>
      <c r="I1831" s="619"/>
      <c r="J1831" s="619"/>
      <c r="K1831" s="498"/>
      <c r="L1831" s="474"/>
      <c r="M1831" s="471"/>
      <c r="N1831" s="419"/>
      <c r="O1831" s="541"/>
      <c r="P1831" s="419"/>
      <c r="Q1831" s="419"/>
      <c r="S1831" s="414" t="str">
        <f t="shared" si="233"/>
        <v>ESTACAS</v>
      </c>
    </row>
    <row r="1832" spans="1:19" s="414" customFormat="1" hidden="1">
      <c r="A1832" s="410" t="s">
        <v>348</v>
      </c>
      <c r="B1832" s="636"/>
      <c r="C1832" s="410"/>
      <c r="D1832" s="626" t="s">
        <v>2217</v>
      </c>
      <c r="E1832" s="627" t="s">
        <v>76</v>
      </c>
      <c r="F1832" s="618"/>
      <c r="G1832" s="437"/>
      <c r="H1832" s="437"/>
      <c r="I1832" s="619"/>
      <c r="J1832" s="619"/>
      <c r="K1832" s="498"/>
      <c r="L1832" s="474"/>
      <c r="M1832" s="471"/>
      <c r="N1832" s="419"/>
      <c r="O1832" s="541"/>
      <c r="P1832" s="419"/>
      <c r="Q1832" s="419"/>
      <c r="S1832" s="414" t="str">
        <f t="shared" si="233"/>
        <v>ESTACA ESCAVADA</v>
      </c>
    </row>
    <row r="1833" spans="1:19" s="344" customFormat="1" ht="25.5" hidden="1">
      <c r="A1833" s="49" t="s">
        <v>417</v>
      </c>
      <c r="B1833" s="49">
        <f>'[3]Plan Tron'!B73</f>
        <v>90808</v>
      </c>
      <c r="C1833" s="49" t="str">
        <f>'[3]Plan Tron'!C73</f>
        <v>SINAPI</v>
      </c>
      <c r="D1833" s="614" t="str">
        <f>'[3]Plan Tron'!D73</f>
        <v>ESTACA HÉLICE CONTÍNUA, DIÂMETRO DE 30 CM, COMPRIMENTO TOTAL ATÉ 15 M, PERFURATRIZ COM TORQUE DE 170 KN.M (EXCLUSIVE MOBILIZAÇÃO E DESMOBILIZAÇÃO). AF_02/2015</v>
      </c>
      <c r="E1833" s="49" t="str">
        <f>'[3]Plan Tron'!E73</f>
        <v>M</v>
      </c>
      <c r="F1833" s="175">
        <v>40</v>
      </c>
      <c r="G1833" s="172">
        <v>21</v>
      </c>
      <c r="H1833" s="172">
        <f>'[3]Plan Tron'!F73</f>
        <v>59.34</v>
      </c>
      <c r="I1833" s="27">
        <v>26.44</v>
      </c>
      <c r="J1833" s="27">
        <f>ROUND(H1833*(I1833/100+1),2)</f>
        <v>75.03</v>
      </c>
      <c r="K1833" s="474">
        <v>40</v>
      </c>
      <c r="L1833" s="474">
        <f>F1833-K1833</f>
        <v>0</v>
      </c>
      <c r="M1833" s="471">
        <f t="shared" ref="M1833:M1891" si="234">ROUND(L1833*J1833,2)</f>
        <v>0</v>
      </c>
      <c r="N1833" s="405"/>
      <c r="O1833" s="541"/>
      <c r="P1833" s="405"/>
      <c r="Q1833" s="405"/>
      <c r="S1833" s="344" t="str">
        <f t="shared" si="233"/>
        <v>ESTACA HÉLICE CONTÍNUA, DIÂMETRO DE 30 CM, COMPRIMENTO TOTAL ATÉ 15 M, PERFURATRIZ COM TORQUE DE 170 KN.M (EXCLUSIVE MOBILIZAÇÃO E DESMOBILIZAÇÃO). AF_02/2015</v>
      </c>
    </row>
    <row r="1834" spans="1:19" s="414" customFormat="1">
      <c r="A1834" s="410" t="s">
        <v>8</v>
      </c>
      <c r="B1834" s="636"/>
      <c r="C1834" s="410"/>
      <c r="D1834" s="626" t="s">
        <v>2058</v>
      </c>
      <c r="E1834" s="627" t="s">
        <v>76</v>
      </c>
      <c r="F1834" s="618"/>
      <c r="G1834" s="437"/>
      <c r="H1834" s="437"/>
      <c r="I1834" s="619"/>
      <c r="J1834" s="619"/>
      <c r="K1834" s="498"/>
      <c r="L1834" s="474"/>
      <c r="M1834" s="471"/>
      <c r="N1834" s="419"/>
      <c r="O1834" s="541"/>
      <c r="P1834" s="419"/>
      <c r="Q1834" s="419"/>
      <c r="S1834" s="414" t="str">
        <f t="shared" si="233"/>
        <v>FORMAS / CIMBRAMENTOS / ESCORAMENTOS</v>
      </c>
    </row>
    <row r="1835" spans="1:19" s="390" customFormat="1" hidden="1">
      <c r="A1835" s="49" t="s">
        <v>317</v>
      </c>
      <c r="B1835" s="49">
        <f>'[3]Plan Tron'!B20</f>
        <v>5651</v>
      </c>
      <c r="C1835" s="49" t="str">
        <f>'[3]Plan Tron'!C20</f>
        <v>SINAPI</v>
      </c>
      <c r="D1835" s="612" t="str">
        <f>'[3]Plan Tron'!D20</f>
        <v>FORMA DE MADEIRA COMUM PARA FUNDAÇÕES - REAPROVEITAMENTO 5X.</v>
      </c>
      <c r="E1835" s="49" t="str">
        <f>'[3]Plan Tron'!E20</f>
        <v>M²</v>
      </c>
      <c r="F1835" s="8">
        <v>25.2</v>
      </c>
      <c r="G1835" s="9">
        <v>22.96</v>
      </c>
      <c r="H1835" s="9">
        <f>'[3]Plan Tron'!F20</f>
        <v>29.01</v>
      </c>
      <c r="I1835" s="27">
        <v>26.44</v>
      </c>
      <c r="J1835" s="27">
        <f>ROUND(H1835*(I1835/100+1),2)</f>
        <v>36.68</v>
      </c>
      <c r="K1835" s="631">
        <v>39.6</v>
      </c>
      <c r="L1835" s="632">
        <f>F1835-K1835</f>
        <v>-14.400000000000002</v>
      </c>
      <c r="M1835" s="471"/>
      <c r="N1835" s="633"/>
      <c r="O1835" s="634"/>
      <c r="P1835" s="633"/>
      <c r="Q1835" s="633"/>
      <c r="S1835" s="390" t="str">
        <f t="shared" si="233"/>
        <v>FORMA DE MADEIRA COMUM PARA FUNDAÇÕES - REAPROVEITAMENTO 5X.</v>
      </c>
    </row>
    <row r="1836" spans="1:19" s="344" customFormat="1">
      <c r="A1836" s="49" t="s">
        <v>316</v>
      </c>
      <c r="B1836" s="49" t="str">
        <f>'[3]Plan Tron'!B66</f>
        <v xml:space="preserve">080202 </v>
      </c>
      <c r="C1836" s="49" t="str">
        <f>'[3]Plan Tron'!C66</f>
        <v>CPOS</v>
      </c>
      <c r="D1836" s="612" t="str">
        <f>'[3]Plan Tron'!D66</f>
        <v>CIMBRAMENTO EM MADEIRA COM ESTRONCAS DE EUCALIPTO</v>
      </c>
      <c r="E1836" s="49" t="str">
        <f>'[3]Plan Tron'!E66</f>
        <v>M³</v>
      </c>
      <c r="F1836" s="8">
        <v>146.97</v>
      </c>
      <c r="G1836" s="9">
        <v>25.02</v>
      </c>
      <c r="H1836" s="9">
        <f>'[3]Plan Tron'!F66</f>
        <v>27.46</v>
      </c>
      <c r="I1836" s="27">
        <v>26.44</v>
      </c>
      <c r="J1836" s="27">
        <f t="shared" ref="J1836:J1837" si="235">ROUND(H1836*(I1836/100+1),2)</f>
        <v>34.72</v>
      </c>
      <c r="K1836" s="383">
        <v>0</v>
      </c>
      <c r="L1836" s="474">
        <f>F1836-K1836</f>
        <v>146.97</v>
      </c>
      <c r="M1836" s="471">
        <f t="shared" si="234"/>
        <v>5102.8</v>
      </c>
      <c r="N1836" s="405"/>
      <c r="O1836" s="541"/>
      <c r="P1836" s="405"/>
      <c r="Q1836" s="405"/>
      <c r="S1836" s="344" t="str">
        <f t="shared" si="233"/>
        <v>CIMBRAMENTO EM MADEIRA COM ESTRONCAS DE EUCALIPTO</v>
      </c>
    </row>
    <row r="1837" spans="1:19" s="344" customFormat="1">
      <c r="A1837" s="49" t="s">
        <v>315</v>
      </c>
      <c r="B1837" s="49">
        <f>'[3]Plan Tron'!B163</f>
        <v>92265</v>
      </c>
      <c r="C1837" s="49" t="str">
        <f>'[3]Plan Tron'!C163</f>
        <v>SINAPI</v>
      </c>
      <c r="D1837" s="612" t="str">
        <f>'[3]Plan Tron'!D163</f>
        <v>FABRICAÇÃO DE FÔRMA PARA VIGAS, EM CHAPA DE MADEIRA COMPENSADA RESINADA, E = 17 MM. AF_12/2015</v>
      </c>
      <c r="E1837" s="49" t="str">
        <f>'[3]Plan Tron'!E163</f>
        <v>M²</v>
      </c>
      <c r="F1837" s="8">
        <v>52.16</v>
      </c>
      <c r="G1837" s="9">
        <v>29.81</v>
      </c>
      <c r="H1837" s="9">
        <f>'[3]Plan Tron'!F163</f>
        <v>61.61</v>
      </c>
      <c r="I1837" s="27">
        <v>26.44</v>
      </c>
      <c r="J1837" s="27">
        <f t="shared" si="235"/>
        <v>77.900000000000006</v>
      </c>
      <c r="K1837" s="383">
        <v>0</v>
      </c>
      <c r="L1837" s="474">
        <f>F1837-K1837</f>
        <v>52.16</v>
      </c>
      <c r="M1837" s="471">
        <f t="shared" si="234"/>
        <v>4063.26</v>
      </c>
      <c r="N1837" s="405"/>
      <c r="O1837" s="541"/>
      <c r="P1837" s="405"/>
      <c r="Q1837" s="405"/>
      <c r="S1837" s="344" t="str">
        <f t="shared" si="233"/>
        <v>FABRICAÇÃO DE FÔRMA PARA VIGAS, EM CHAPA DE MADEIRA COMPENSADA RESINADA, E = 17 MM. AF_12/2015</v>
      </c>
    </row>
    <row r="1838" spans="1:19" s="414" customFormat="1">
      <c r="A1838" s="410" t="s">
        <v>7</v>
      </c>
      <c r="B1838" s="636"/>
      <c r="C1838" s="410"/>
      <c r="D1838" s="626" t="s">
        <v>2059</v>
      </c>
      <c r="E1838" s="627" t="s">
        <v>76</v>
      </c>
      <c r="F1838" s="618"/>
      <c r="G1838" s="412"/>
      <c r="H1838" s="412"/>
      <c r="I1838" s="619"/>
      <c r="J1838" s="619"/>
      <c r="K1838" s="498"/>
      <c r="L1838" s="474"/>
      <c r="M1838" s="471"/>
      <c r="N1838" s="419"/>
      <c r="O1838" s="541"/>
      <c r="P1838" s="419"/>
      <c r="Q1838" s="419"/>
      <c r="S1838" s="414" t="str">
        <f t="shared" si="233"/>
        <v>ARMADURAS</v>
      </c>
    </row>
    <row r="1839" spans="1:19" s="414" customFormat="1">
      <c r="A1839" s="410" t="s">
        <v>314</v>
      </c>
      <c r="B1839" s="636"/>
      <c r="C1839" s="410"/>
      <c r="D1839" s="626" t="s">
        <v>2060</v>
      </c>
      <c r="E1839" s="627" t="s">
        <v>76</v>
      </c>
      <c r="F1839" s="422"/>
      <c r="G1839" s="412"/>
      <c r="H1839" s="412"/>
      <c r="I1839" s="619"/>
      <c r="J1839" s="619"/>
      <c r="K1839" s="498"/>
      <c r="L1839" s="474"/>
      <c r="M1839" s="471"/>
      <c r="N1839" s="419"/>
      <c r="O1839" s="541"/>
      <c r="P1839" s="419"/>
      <c r="Q1839" s="419"/>
      <c r="S1839" s="414" t="str">
        <f t="shared" si="233"/>
        <v>ARMAÇÃO EM AÇO CA-50 PARA ESTRUTURAS DE CONCRETO.</v>
      </c>
    </row>
    <row r="1840" spans="1:19" s="344" customFormat="1" ht="25.5">
      <c r="A1840" s="49" t="s">
        <v>347</v>
      </c>
      <c r="B1840" s="49">
        <f>'[3]Plan Tron'!B21</f>
        <v>92761</v>
      </c>
      <c r="C1840" s="49" t="str">
        <f>'[3]Plan Tron'!C21</f>
        <v>SINAPI</v>
      </c>
      <c r="D1840" s="614" t="str">
        <f>'[3]Plan Tron'!D21</f>
        <v>ARMAÇÃO DE PILAR OU VIGA DE UMA ESTRUTURA CONVENCIONAL DE CONCRETO ARMADO EM UM EDIFÍCIO DE MÚLTIPLOS PAVIMENTOS UTILIZANDO AÇO CA-50 DE 8.0MM - MONTAGEM. AF_12/2015</v>
      </c>
      <c r="E1840" s="49" t="str">
        <f>'[3]Plan Tron'!E21</f>
        <v>KG</v>
      </c>
      <c r="F1840" s="172">
        <v>517</v>
      </c>
      <c r="G1840" s="9">
        <f>G85</f>
        <v>5.9</v>
      </c>
      <c r="H1840" s="9">
        <f>'[3]Plan Tron'!F21</f>
        <v>9.44</v>
      </c>
      <c r="I1840" s="27">
        <v>26.44</v>
      </c>
      <c r="J1840" s="27">
        <f>ROUND(H1840*(I1840/100+1),2)</f>
        <v>11.94</v>
      </c>
      <c r="K1840" s="474">
        <v>450</v>
      </c>
      <c r="L1840" s="474">
        <f>F1840-K1840</f>
        <v>67</v>
      </c>
      <c r="M1840" s="471">
        <f t="shared" si="234"/>
        <v>799.98</v>
      </c>
      <c r="N1840" s="405"/>
      <c r="O1840" s="541"/>
      <c r="P1840" s="405"/>
      <c r="Q1840" s="405"/>
      <c r="S1840" s="344" t="str">
        <f t="shared" si="233"/>
        <v>ARMAÇÃO DE PILAR OU VIGA DE UMA ESTRUTURA CONVENCIONAL DE CONCRETO ARMADO EM UM EDIFÍCIO DE MÚLTIPLOS PAVIMENTOS UTILIZANDO AÇO CA-50 DE 8.0MM - MONTAGEM. AF_12/2015</v>
      </c>
    </row>
    <row r="1841" spans="1:19" s="414" customFormat="1">
      <c r="A1841" s="410" t="s">
        <v>6</v>
      </c>
      <c r="B1841" s="636"/>
      <c r="C1841" s="410"/>
      <c r="D1841" s="626" t="s">
        <v>2061</v>
      </c>
      <c r="E1841" s="627"/>
      <c r="F1841" s="618"/>
      <c r="G1841" s="412"/>
      <c r="H1841" s="412"/>
      <c r="I1841" s="619"/>
      <c r="J1841" s="619"/>
      <c r="K1841" s="498"/>
      <c r="L1841" s="474"/>
      <c r="M1841" s="471"/>
      <c r="N1841" s="419"/>
      <c r="O1841" s="541"/>
      <c r="P1841" s="419"/>
      <c r="Q1841" s="419"/>
      <c r="S1841" s="414" t="str">
        <f t="shared" si="233"/>
        <v>CONCRETOS</v>
      </c>
    </row>
    <row r="1842" spans="1:19" s="344" customFormat="1">
      <c r="A1842" s="49" t="s">
        <v>311</v>
      </c>
      <c r="B1842" s="49">
        <f>'[3]Plan Tron'!B23</f>
        <v>110404</v>
      </c>
      <c r="C1842" s="49" t="str">
        <f>'[3]Plan Tron'!C23</f>
        <v>CPOS</v>
      </c>
      <c r="D1842" s="612" t="str">
        <f>UPPER('[3]Plan Tron'!D23)</f>
        <v>CONCRETO NÃO ESTRUTURAL EXECUTADO NO LOCAL, MÍNIMO 200 KG CIMENTO / M³</v>
      </c>
      <c r="E1842" s="49" t="str">
        <f>'[3]Plan Tron'!E23</f>
        <v>M³</v>
      </c>
      <c r="F1842" s="161">
        <v>4.28</v>
      </c>
      <c r="G1842" s="172">
        <v>238.25</v>
      </c>
      <c r="H1842" s="172">
        <f>'[3]Plan Tron'!F23</f>
        <v>231.91</v>
      </c>
      <c r="I1842" s="27">
        <v>26.44</v>
      </c>
      <c r="J1842" s="27">
        <f>ROUND(H1842*(I1842/100+1),2)</f>
        <v>293.23</v>
      </c>
      <c r="K1842" s="383">
        <v>2</v>
      </c>
      <c r="L1842" s="474">
        <f>F1842-K1842</f>
        <v>2.2800000000000002</v>
      </c>
      <c r="M1842" s="471">
        <f t="shared" si="234"/>
        <v>668.56</v>
      </c>
      <c r="N1842" s="405"/>
      <c r="O1842" s="541"/>
      <c r="P1842" s="405"/>
      <c r="Q1842" s="405"/>
      <c r="S1842" s="344" t="str">
        <f t="shared" si="233"/>
        <v>CONCRETO NÃO ESTRUTURAL EXECUTADO NO LOCAL, MÍNIMO 200 KG CIMENTO / M³</v>
      </c>
    </row>
    <row r="1843" spans="1:19" s="414" customFormat="1" hidden="1">
      <c r="A1843" s="410" t="s">
        <v>710</v>
      </c>
      <c r="B1843" s="636"/>
      <c r="C1843" s="410"/>
      <c r="D1843" s="626" t="s">
        <v>2062</v>
      </c>
      <c r="E1843" s="627"/>
      <c r="F1843" s="436"/>
      <c r="G1843" s="412"/>
      <c r="H1843" s="412"/>
      <c r="I1843" s="619"/>
      <c r="J1843" s="619"/>
      <c r="K1843" s="498"/>
      <c r="L1843" s="474"/>
      <c r="M1843" s="471"/>
      <c r="N1843" s="419"/>
      <c r="O1843" s="541"/>
      <c r="P1843" s="419"/>
      <c r="Q1843" s="419"/>
      <c r="S1843" s="414" t="str">
        <f t="shared" si="233"/>
        <v>CONCRETO BOMBEADO</v>
      </c>
    </row>
    <row r="1844" spans="1:19" s="344" customFormat="1" hidden="1">
      <c r="A1844" s="49" t="s">
        <v>944</v>
      </c>
      <c r="B1844" s="49">
        <f>'[3]Plan Tron'!B27</f>
        <v>110132</v>
      </c>
      <c r="C1844" s="49" t="str">
        <f>'[3]Plan Tron'!C27</f>
        <v>CPOS</v>
      </c>
      <c r="D1844" s="612" t="str">
        <f>'[3]Plan Tron'!D27</f>
        <v xml:space="preserve">CONCRETO USINADO, FCK=30MPa - PARA BOMBEAMENTO </v>
      </c>
      <c r="E1844" s="49" t="str">
        <f>'[3]Plan Tron'!E27</f>
        <v>M³</v>
      </c>
      <c r="F1844" s="8">
        <v>6.05</v>
      </c>
      <c r="G1844" s="9">
        <v>336.65</v>
      </c>
      <c r="H1844" s="9">
        <f>'[3]Plan Tron'!F27</f>
        <v>311.94</v>
      </c>
      <c r="I1844" s="27">
        <v>26.44</v>
      </c>
      <c r="J1844" s="27">
        <f>ROUND(H1844*(I1844/100+1),2)</f>
        <v>394.42</v>
      </c>
      <c r="K1844" s="383">
        <v>6.05</v>
      </c>
      <c r="L1844" s="474">
        <f>F1844-K1844</f>
        <v>0</v>
      </c>
      <c r="M1844" s="471">
        <f t="shared" si="234"/>
        <v>0</v>
      </c>
      <c r="N1844" s="405"/>
      <c r="O1844" s="541"/>
      <c r="P1844" s="405"/>
      <c r="Q1844" s="405"/>
      <c r="S1844" s="344" t="str">
        <f t="shared" si="233"/>
        <v xml:space="preserve">CONCRETO USINADO, FCK=30MPA - PARA BOMBEAMENTO </v>
      </c>
    </row>
    <row r="1845" spans="1:19" s="414" customFormat="1">
      <c r="A1845" s="410" t="s">
        <v>5</v>
      </c>
      <c r="B1845" s="411"/>
      <c r="C1845" s="410"/>
      <c r="D1845" s="429" t="s">
        <v>2308</v>
      </c>
      <c r="E1845" s="617"/>
      <c r="F1845" s="618"/>
      <c r="G1845" s="412"/>
      <c r="H1845" s="412"/>
      <c r="I1845" s="619"/>
      <c r="J1845" s="619"/>
      <c r="K1845" s="498"/>
      <c r="L1845" s="474"/>
      <c r="M1845" s="471"/>
      <c r="N1845" s="419"/>
      <c r="O1845" s="541"/>
      <c r="P1845" s="419"/>
      <c r="Q1845" s="419"/>
      <c r="S1845" s="414" t="str">
        <f t="shared" si="233"/>
        <v>LAJE PRÉ FABRICADA</v>
      </c>
    </row>
    <row r="1846" spans="1:19" s="414" customFormat="1">
      <c r="A1846" s="410" t="s">
        <v>346</v>
      </c>
      <c r="B1846" s="411"/>
      <c r="C1846" s="410"/>
      <c r="D1846" s="637" t="s">
        <v>2174</v>
      </c>
      <c r="E1846" s="638"/>
      <c r="F1846" s="639"/>
      <c r="G1846" s="412"/>
      <c r="H1846" s="412"/>
      <c r="I1846" s="619"/>
      <c r="J1846" s="619"/>
      <c r="K1846" s="498"/>
      <c r="L1846" s="474"/>
      <c r="M1846" s="471"/>
      <c r="N1846" s="419"/>
      <c r="O1846" s="541"/>
      <c r="P1846" s="419"/>
      <c r="Q1846" s="419"/>
      <c r="S1846" s="414" t="str">
        <f t="shared" si="233"/>
        <v>LAJE PRÉ-MOLDADA</v>
      </c>
    </row>
    <row r="1847" spans="1:19" s="344" customFormat="1" ht="25.5">
      <c r="A1847" s="49" t="s">
        <v>345</v>
      </c>
      <c r="B1847" s="49" t="str">
        <f>'[3]Plan Tron'!B156</f>
        <v xml:space="preserve">74202/001 </v>
      </c>
      <c r="C1847" s="49" t="str">
        <f>'[3]Plan Tron'!C156</f>
        <v>SINAPI</v>
      </c>
      <c r="D1847" s="614" t="str">
        <f>'[3]Plan Tron'!D156</f>
        <v>LAJE PRE-MOLDADA P/FORRO, SOBRECARGA 100KG/M2, VAOS ATE 3,50M/E=8CM, C/LAJOTAS E CAP.C/CONC FCK=20MPA, 3CM, INTER-EIXO 38CM, C/ESCORAMENTO (REAPR.3X) E FERRAGEM NEGATIVA</v>
      </c>
      <c r="E1847" s="49" t="str">
        <f>'[3]Plan Tron'!E156</f>
        <v>M²</v>
      </c>
      <c r="F1847" s="162">
        <v>27.9</v>
      </c>
      <c r="G1847" s="9">
        <v>90.89</v>
      </c>
      <c r="H1847" s="9">
        <f>'[3]Plan Tron'!F156</f>
        <v>59.9</v>
      </c>
      <c r="I1847" s="27">
        <v>26.44</v>
      </c>
      <c r="J1847" s="27">
        <f>ROUND(H1847*(I1847/100+1),2)</f>
        <v>75.739999999999995</v>
      </c>
      <c r="K1847" s="383">
        <v>0</v>
      </c>
      <c r="L1847" s="474">
        <f>F1847-K1847</f>
        <v>27.9</v>
      </c>
      <c r="M1847" s="471">
        <f t="shared" si="234"/>
        <v>2113.15</v>
      </c>
      <c r="N1847" s="405"/>
      <c r="O1847" s="541"/>
      <c r="P1847" s="405"/>
      <c r="Q1847" s="405"/>
      <c r="S1847" s="344" t="str">
        <f t="shared" si="233"/>
        <v>LAJE PRE-MOLDADA P/FORRO, SOBRECARGA 100KG/M2, VAOS ATE 3,50M/E=8CM, C/LAJOTAS E CAP.C/CONC FCK=20MPA, 3CM, INTER-EIXO 38CM, C/ESCORAMENTO (REAPR.3X) E FERRAGEM NEGATIVA</v>
      </c>
    </row>
    <row r="1848" spans="1:19" s="414" customFormat="1">
      <c r="A1848" s="410" t="s">
        <v>4</v>
      </c>
      <c r="B1848" s="425"/>
      <c r="C1848" s="410"/>
      <c r="D1848" s="426" t="s">
        <v>2055</v>
      </c>
      <c r="E1848" s="640"/>
      <c r="F1848" s="423"/>
      <c r="G1848" s="423"/>
      <c r="H1848" s="423"/>
      <c r="I1848" s="412"/>
      <c r="J1848" s="412"/>
      <c r="K1848" s="498"/>
      <c r="L1848" s="474"/>
      <c r="M1848" s="471"/>
      <c r="N1848" s="419"/>
      <c r="O1848" s="541"/>
      <c r="P1848" s="419"/>
      <c r="Q1848" s="419"/>
      <c r="S1848" s="414" t="str">
        <f t="shared" si="233"/>
        <v>LASTROS / FUNDAÇÕES DIRETAS</v>
      </c>
    </row>
    <row r="1849" spans="1:19" s="414" customFormat="1" hidden="1">
      <c r="A1849" s="410" t="s">
        <v>702</v>
      </c>
      <c r="B1849" s="425"/>
      <c r="C1849" s="410"/>
      <c r="D1849" s="426" t="s">
        <v>2056</v>
      </c>
      <c r="E1849" s="424"/>
      <c r="F1849" s="422"/>
      <c r="G1849" s="412"/>
      <c r="H1849" s="412"/>
      <c r="I1849" s="412"/>
      <c r="J1849" s="412"/>
      <c r="K1849" s="498"/>
      <c r="L1849" s="474"/>
      <c r="M1849" s="471"/>
      <c r="N1849" s="419"/>
      <c r="O1849" s="541"/>
      <c r="P1849" s="419"/>
      <c r="Q1849" s="419"/>
      <c r="S1849" s="414" t="str">
        <f t="shared" si="233"/>
        <v>LASTRO DE PEDRA BRITADA E FUNDAÇÕES EM BALDRAME.</v>
      </c>
    </row>
    <row r="1850" spans="1:19" s="344" customFormat="1" hidden="1">
      <c r="A1850" s="49" t="s">
        <v>937</v>
      </c>
      <c r="B1850" s="49">
        <f>'[3]Plan Tron'!B18</f>
        <v>6514</v>
      </c>
      <c r="C1850" s="49" t="str">
        <f>'[3]Plan Tron'!C18</f>
        <v>SINAPI</v>
      </c>
      <c r="D1850" s="63" t="str">
        <f>'[3]Plan Tron'!D18</f>
        <v xml:space="preserve">FORNECIMENTO E LANCAMENTO DE BRITA N. 4 </v>
      </c>
      <c r="E1850" s="77" t="str">
        <f>'[3]Plan Tron'!E18</f>
        <v>M³</v>
      </c>
      <c r="F1850" s="21">
        <v>0.22</v>
      </c>
      <c r="G1850" s="9">
        <f>G78</f>
        <v>74.28</v>
      </c>
      <c r="H1850" s="9">
        <f>'[3]Plan Tron'!F18</f>
        <v>88.38</v>
      </c>
      <c r="I1850" s="9">
        <v>26.44</v>
      </c>
      <c r="J1850" s="9">
        <f>ROUND(H1850*(I1850/100+1),2)</f>
        <v>111.75</v>
      </c>
      <c r="K1850" s="383">
        <v>0.22</v>
      </c>
      <c r="L1850" s="474">
        <f>F1850-K1850</f>
        <v>0</v>
      </c>
      <c r="M1850" s="471">
        <f t="shared" si="234"/>
        <v>0</v>
      </c>
      <c r="N1850" s="405"/>
      <c r="O1850" s="541"/>
      <c r="P1850" s="405"/>
      <c r="Q1850" s="405"/>
      <c r="S1850" s="344" t="str">
        <f t="shared" si="233"/>
        <v xml:space="preserve">FORNECIMENTO E LANCAMENTO DE BRITA N. 4 </v>
      </c>
    </row>
    <row r="1851" spans="1:19" s="344" customFormat="1">
      <c r="A1851" s="49"/>
      <c r="B1851" s="11"/>
      <c r="C1851" s="49"/>
      <c r="D1851" s="123"/>
      <c r="E1851" s="119"/>
      <c r="F1851" s="162"/>
      <c r="G1851" s="9"/>
      <c r="H1851" s="9"/>
      <c r="I1851" s="27"/>
      <c r="J1851" s="27"/>
      <c r="K1851" s="123"/>
      <c r="L1851" s="474"/>
      <c r="M1851" s="471"/>
      <c r="N1851" s="405"/>
      <c r="O1851" s="541"/>
      <c r="P1851" s="405"/>
      <c r="Q1851" s="405"/>
    </row>
    <row r="1852" spans="1:19" s="344" customFormat="1">
      <c r="A1852" s="49"/>
      <c r="B1852" s="11"/>
      <c r="C1852" s="49"/>
      <c r="D1852" s="118" t="s">
        <v>76</v>
      </c>
      <c r="E1852" s="119"/>
      <c r="F1852" s="162"/>
      <c r="G1852" s="9"/>
      <c r="H1852" s="9"/>
      <c r="I1852" s="27"/>
      <c r="J1852" s="27"/>
      <c r="K1852" s="383"/>
      <c r="L1852" s="474"/>
      <c r="M1852" s="471"/>
      <c r="N1852" s="405"/>
      <c r="O1852" s="541"/>
      <c r="P1852" s="405"/>
      <c r="Q1852" s="405"/>
      <c r="S1852" s="344" t="str">
        <f>UPPER(D1852)</f>
        <v/>
      </c>
    </row>
    <row r="1853" spans="1:19" s="344" customFormat="1">
      <c r="A1853" s="45">
        <v>3</v>
      </c>
      <c r="B1853" s="11"/>
      <c r="C1853" s="45"/>
      <c r="D1853" s="180" t="s">
        <v>2309</v>
      </c>
      <c r="E1853" s="181"/>
      <c r="F1853" s="76"/>
      <c r="G1853" s="54"/>
      <c r="H1853" s="54"/>
      <c r="I1853" s="27"/>
      <c r="J1853" s="27"/>
      <c r="K1853" s="383"/>
      <c r="L1853" s="474"/>
      <c r="M1853" s="471"/>
      <c r="N1853" s="405"/>
      <c r="O1853" s="541"/>
      <c r="P1853" s="405"/>
      <c r="Q1853" s="405"/>
      <c r="S1853" s="344" t="str">
        <f>UPPER(D1853)</f>
        <v>PAREDE E PAINÉIS</v>
      </c>
    </row>
    <row r="1854" spans="1:19" s="414" customFormat="1" hidden="1">
      <c r="A1854" s="410" t="s">
        <v>144</v>
      </c>
      <c r="B1854" s="411"/>
      <c r="C1854" s="410"/>
      <c r="D1854" s="637" t="s">
        <v>2068</v>
      </c>
      <c r="E1854" s="630"/>
      <c r="F1854" s="618"/>
      <c r="G1854" s="412"/>
      <c r="H1854" s="412"/>
      <c r="I1854" s="619"/>
      <c r="J1854" s="619"/>
      <c r="K1854" s="498"/>
      <c r="L1854" s="474"/>
      <c r="M1854" s="471"/>
      <c r="N1854" s="419"/>
      <c r="O1854" s="541"/>
      <c r="P1854" s="419"/>
      <c r="Q1854" s="419"/>
      <c r="S1854" s="414" t="str">
        <f>UPPER(D1854)</f>
        <v>ALVENARIA DE BLOCOS DE CONCRETO</v>
      </c>
    </row>
    <row r="1855" spans="1:19" s="414" customFormat="1" hidden="1">
      <c r="A1855" s="410" t="s">
        <v>143</v>
      </c>
      <c r="B1855" s="411"/>
      <c r="C1855" s="410"/>
      <c r="D1855" s="637" t="s">
        <v>2068</v>
      </c>
      <c r="E1855" s="617"/>
      <c r="F1855" s="618"/>
      <c r="G1855" s="412"/>
      <c r="H1855" s="412"/>
      <c r="I1855" s="619"/>
      <c r="J1855" s="619"/>
      <c r="K1855" s="498"/>
      <c r="L1855" s="474"/>
      <c r="M1855" s="471"/>
      <c r="N1855" s="419"/>
      <c r="O1855" s="541"/>
      <c r="P1855" s="419"/>
      <c r="Q1855" s="419"/>
      <c r="S1855" s="414" t="str">
        <f>UPPER(D1855)</f>
        <v>ALVENARIA DE BLOCOS DE CONCRETO</v>
      </c>
    </row>
    <row r="1856" spans="1:19" s="344" customFormat="1" ht="38.25" hidden="1">
      <c r="A1856" s="49" t="s">
        <v>343</v>
      </c>
      <c r="B1856" s="49">
        <f>'[3]Plan Tron'!B78</f>
        <v>87454</v>
      </c>
      <c r="C1856" s="49" t="str">
        <f>'[3]Plan Tron'!C78</f>
        <v>SINAPI</v>
      </c>
      <c r="D1856" s="614" t="str">
        <f>'[3]Plan Tron'!D78</f>
        <v xml:space="preserve"> ALVENARIA DE VEDAÇÃO DE BLOCOS VAZADOS DE CONCRETO DE 9X19X39CM (ESPESSURA 9CM) DE PAREDES COM ÁREA LÍQUIDA MAIOR OU IGUAL A 6M² SEM VÃOS E ARGAMASSA DE ASSENTAMENTO COM PREPARO MANUAL. AF_06/2014</v>
      </c>
      <c r="E1856" s="49" t="str">
        <f>'[3]Plan Tron'!E78</f>
        <v>M²</v>
      </c>
      <c r="F1856" s="8">
        <v>84.2</v>
      </c>
      <c r="G1856" s="9">
        <v>47.49</v>
      </c>
      <c r="H1856" s="9">
        <f>'[3]Plan Tron'!F78</f>
        <v>43.14</v>
      </c>
      <c r="I1856" s="27">
        <v>26.44</v>
      </c>
      <c r="J1856" s="27">
        <f>ROUND(H1856*(I1856/100+1),2)</f>
        <v>54.55</v>
      </c>
      <c r="K1856" s="474">
        <v>84.2</v>
      </c>
      <c r="L1856" s="474">
        <f>F1856-K1856</f>
        <v>0</v>
      </c>
      <c r="M1856" s="471">
        <f t="shared" si="234"/>
        <v>0</v>
      </c>
      <c r="N1856" s="405"/>
      <c r="O1856" s="541"/>
      <c r="P1856" s="405"/>
      <c r="Q1856" s="405"/>
      <c r="S1856" s="344" t="str">
        <f>UPPER(D1856)</f>
        <v xml:space="preserve"> ALVENARIA DE VEDAÇÃO DE BLOCOS VAZADOS DE CONCRETO DE 9X19X39CM (ESPESSURA 9CM) DE PAREDES COM ÁREA LÍQUIDA MAIOR OU IGUAL A 6M² SEM VÃOS E ARGAMASSA DE ASSENTAMENTO COM PREPARO MANUAL. AF_06/2014</v>
      </c>
    </row>
    <row r="1857" spans="1:19" s="344" customFormat="1" hidden="1">
      <c r="A1857" s="49"/>
      <c r="B1857" s="11"/>
      <c r="C1857" s="49"/>
      <c r="D1857" s="123"/>
      <c r="E1857" s="7"/>
      <c r="F1857" s="8"/>
      <c r="G1857" s="9"/>
      <c r="H1857" s="9"/>
      <c r="I1857" s="27"/>
      <c r="J1857" s="27"/>
      <c r="K1857" s="123"/>
      <c r="L1857" s="474"/>
      <c r="M1857" s="471"/>
      <c r="N1857" s="405"/>
      <c r="O1857" s="541"/>
      <c r="P1857" s="405"/>
      <c r="Q1857" s="405"/>
    </row>
    <row r="1858" spans="1:19" s="344" customFormat="1" hidden="1">
      <c r="A1858" s="49"/>
      <c r="B1858" s="11"/>
      <c r="C1858" s="49"/>
      <c r="D1858" s="180" t="s">
        <v>76</v>
      </c>
      <c r="E1858" s="7"/>
      <c r="F1858" s="8"/>
      <c r="G1858" s="9"/>
      <c r="H1858" s="9"/>
      <c r="I1858" s="27"/>
      <c r="J1858" s="27"/>
      <c r="K1858" s="383"/>
      <c r="L1858" s="474"/>
      <c r="M1858" s="471"/>
      <c r="N1858" s="405"/>
      <c r="O1858" s="541"/>
      <c r="P1858" s="405"/>
      <c r="Q1858" s="405"/>
      <c r="S1858" s="344" t="str">
        <f t="shared" ref="S1858:S1865" si="236">UPPER(D1858)</f>
        <v/>
      </c>
    </row>
    <row r="1859" spans="1:19" s="344" customFormat="1">
      <c r="A1859" s="45">
        <v>4</v>
      </c>
      <c r="B1859" s="11"/>
      <c r="C1859" s="45"/>
      <c r="D1859" s="180" t="s">
        <v>2310</v>
      </c>
      <c r="E1859" s="181"/>
      <c r="F1859" s="76"/>
      <c r="G1859" s="54"/>
      <c r="H1859" s="54"/>
      <c r="I1859" s="27"/>
      <c r="J1859" s="27"/>
      <c r="K1859" s="383"/>
      <c r="L1859" s="474"/>
      <c r="M1859" s="471"/>
      <c r="N1859" s="405"/>
      <c r="O1859" s="541"/>
      <c r="P1859" s="405"/>
      <c r="Q1859" s="405"/>
      <c r="S1859" s="344" t="str">
        <f t="shared" si="236"/>
        <v>ESQUADRIAS</v>
      </c>
    </row>
    <row r="1860" spans="1:19" s="414" customFormat="1">
      <c r="A1860" s="410" t="s">
        <v>139</v>
      </c>
      <c r="B1860" s="411"/>
      <c r="C1860" s="410"/>
      <c r="D1860" s="637" t="s">
        <v>2311</v>
      </c>
      <c r="E1860" s="630"/>
      <c r="F1860" s="618"/>
      <c r="G1860" s="412"/>
      <c r="H1860" s="412"/>
      <c r="I1860" s="619"/>
      <c r="J1860" s="619"/>
      <c r="K1860" s="498"/>
      <c r="L1860" s="474"/>
      <c r="M1860" s="471"/>
      <c r="N1860" s="419"/>
      <c r="O1860" s="541"/>
      <c r="P1860" s="419"/>
      <c r="Q1860" s="419"/>
      <c r="S1860" s="414" t="str">
        <f t="shared" si="236"/>
        <v>PORTA E/OU TAMPA DE FERRO</v>
      </c>
    </row>
    <row r="1861" spans="1:19" s="414" customFormat="1">
      <c r="A1861" s="410" t="s">
        <v>138</v>
      </c>
      <c r="B1861" s="411"/>
      <c r="C1861" s="410"/>
      <c r="D1861" s="637" t="s">
        <v>2312</v>
      </c>
      <c r="E1861" s="617"/>
      <c r="F1861" s="618"/>
      <c r="G1861" s="412"/>
      <c r="H1861" s="412"/>
      <c r="I1861" s="619"/>
      <c r="J1861" s="619"/>
      <c r="K1861" s="498"/>
      <c r="L1861" s="474"/>
      <c r="M1861" s="471"/>
      <c r="N1861" s="419"/>
      <c r="O1861" s="541"/>
      <c r="P1861" s="419"/>
      <c r="Q1861" s="419"/>
      <c r="S1861" s="414" t="str">
        <f t="shared" si="236"/>
        <v>PORTA DE FERRO DE ABRIR</v>
      </c>
    </row>
    <row r="1862" spans="1:19" s="344" customFormat="1">
      <c r="A1862" s="49" t="s">
        <v>137</v>
      </c>
      <c r="B1862" s="49">
        <f>'[3]Plan Tron'!B168</f>
        <v>240206</v>
      </c>
      <c r="C1862" s="49" t="str">
        <f>'[3]Plan Tron'!C168</f>
        <v>CPOS</v>
      </c>
      <c r="D1862" s="612" t="str">
        <f>UPPER('[3]Plan Tron'!D168)</f>
        <v xml:space="preserve">PORTA/PORTÃO DE ABRIR EM CHAPA, SOB MEDIDA </v>
      </c>
      <c r="E1862" s="49" t="str">
        <f>'[3]Plan Tron'!E168</f>
        <v>M²</v>
      </c>
      <c r="F1862" s="8">
        <v>15.48</v>
      </c>
      <c r="G1862" s="9">
        <v>288.04000000000002</v>
      </c>
      <c r="H1862" s="9">
        <f>'[3]Plan Tron'!F168</f>
        <v>580.57000000000005</v>
      </c>
      <c r="I1862" s="27">
        <v>26.44</v>
      </c>
      <c r="J1862" s="27">
        <f>ROUND(H1862*(I1862/100+1),2)</f>
        <v>734.07</v>
      </c>
      <c r="K1862" s="383">
        <v>0</v>
      </c>
      <c r="L1862" s="474">
        <f>F1862-K1862</f>
        <v>15.48</v>
      </c>
      <c r="M1862" s="471">
        <f t="shared" si="234"/>
        <v>11363.4</v>
      </c>
      <c r="N1862" s="405"/>
      <c r="O1862" s="541"/>
      <c r="P1862" s="405"/>
      <c r="Q1862" s="405"/>
      <c r="S1862" s="344" t="str">
        <f t="shared" si="236"/>
        <v xml:space="preserve">PORTA/PORTÃO DE ABRIR EM CHAPA, SOB MEDIDA </v>
      </c>
    </row>
    <row r="1863" spans="1:19" s="414" customFormat="1">
      <c r="A1863" s="410" t="s">
        <v>411</v>
      </c>
      <c r="B1863" s="411"/>
      <c r="C1863" s="410"/>
      <c r="D1863" s="637" t="s">
        <v>2186</v>
      </c>
      <c r="E1863" s="617"/>
      <c r="F1863" s="618"/>
      <c r="G1863" s="412"/>
      <c r="H1863" s="412"/>
      <c r="I1863" s="619"/>
      <c r="J1863" s="619"/>
      <c r="K1863" s="498"/>
      <c r="L1863" s="474"/>
      <c r="M1863" s="471"/>
      <c r="N1863" s="419"/>
      <c r="O1863" s="541"/>
      <c r="P1863" s="419"/>
      <c r="Q1863" s="419"/>
      <c r="S1863" s="414" t="str">
        <f t="shared" si="236"/>
        <v>JANELA DE ALUMÍNIO</v>
      </c>
    </row>
    <row r="1864" spans="1:19" s="344" customFormat="1">
      <c r="A1864" s="410" t="s">
        <v>931</v>
      </c>
      <c r="B1864" s="411"/>
      <c r="C1864" s="410"/>
      <c r="D1864" s="637" t="s">
        <v>2313</v>
      </c>
      <c r="E1864" s="7"/>
      <c r="F1864" s="8"/>
      <c r="G1864" s="9"/>
      <c r="H1864" s="9"/>
      <c r="I1864" s="27"/>
      <c r="J1864" s="27"/>
      <c r="K1864" s="383"/>
      <c r="L1864" s="474"/>
      <c r="M1864" s="471"/>
      <c r="N1864" s="405"/>
      <c r="O1864" s="541"/>
      <c r="P1864" s="405"/>
      <c r="Q1864" s="405"/>
      <c r="S1864" s="344" t="str">
        <f t="shared" si="236"/>
        <v>JANELA BASCULANTE DE ALUMÍNIO</v>
      </c>
    </row>
    <row r="1865" spans="1:19" s="344" customFormat="1">
      <c r="A1865" s="49" t="s">
        <v>1440</v>
      </c>
      <c r="B1865" s="49">
        <f>'[3]Plan Tron'!B119</f>
        <v>250106</v>
      </c>
      <c r="C1865" s="49" t="str">
        <f>'[3]Plan Tron'!C119</f>
        <v>CPOS</v>
      </c>
      <c r="D1865" s="118" t="str">
        <f>UPPER('[3]Plan Tron'!D119)</f>
        <v xml:space="preserve">CAIXILHO EM ALUMÍNIO MAXIMAR, SOB MEDIDA </v>
      </c>
      <c r="E1865" s="77" t="str">
        <f>'[3]Plan Tron'!E119</f>
        <v>M²</v>
      </c>
      <c r="F1865" s="8">
        <v>2.4</v>
      </c>
      <c r="G1865" s="9">
        <v>623.77</v>
      </c>
      <c r="H1865" s="9">
        <f>'[3]Plan Tron'!F119</f>
        <v>536.9</v>
      </c>
      <c r="I1865" s="27">
        <v>26.44</v>
      </c>
      <c r="J1865" s="27">
        <f>ROUND(H1865*(I1865/100+1),2)</f>
        <v>678.86</v>
      </c>
      <c r="K1865" s="383">
        <v>0</v>
      </c>
      <c r="L1865" s="474">
        <f>F1865-K1865</f>
        <v>2.4</v>
      </c>
      <c r="M1865" s="471">
        <f t="shared" si="234"/>
        <v>1629.26</v>
      </c>
      <c r="N1865" s="405"/>
      <c r="O1865" s="541"/>
      <c r="P1865" s="405"/>
      <c r="Q1865" s="405"/>
      <c r="S1865" s="344" t="str">
        <f t="shared" si="236"/>
        <v xml:space="preserve">CAIXILHO EM ALUMÍNIO MAXIMAR, SOB MEDIDA </v>
      </c>
    </row>
    <row r="1866" spans="1:19" s="344" customFormat="1">
      <c r="A1866" s="49"/>
      <c r="B1866" s="11"/>
      <c r="C1866" s="49"/>
      <c r="D1866" s="123"/>
      <c r="E1866" s="7"/>
      <c r="F1866" s="8"/>
      <c r="G1866" s="9"/>
      <c r="H1866" s="9"/>
      <c r="I1866" s="27"/>
      <c r="J1866" s="27"/>
      <c r="K1866" s="123"/>
      <c r="L1866" s="474"/>
      <c r="M1866" s="471"/>
      <c r="N1866" s="405"/>
      <c r="O1866" s="541"/>
      <c r="P1866" s="405"/>
      <c r="Q1866" s="405"/>
    </row>
    <row r="1867" spans="1:19" s="344" customFormat="1">
      <c r="A1867" s="49"/>
      <c r="B1867" s="11"/>
      <c r="C1867" s="49"/>
      <c r="D1867" s="180" t="s">
        <v>76</v>
      </c>
      <c r="E1867" s="7"/>
      <c r="F1867" s="8"/>
      <c r="G1867" s="9"/>
      <c r="H1867" s="9"/>
      <c r="I1867" s="27"/>
      <c r="J1867" s="27"/>
      <c r="K1867" s="383"/>
      <c r="L1867" s="474"/>
      <c r="M1867" s="471"/>
      <c r="N1867" s="405"/>
      <c r="O1867" s="541"/>
      <c r="P1867" s="405"/>
      <c r="Q1867" s="405"/>
      <c r="S1867" s="344" t="str">
        <f t="shared" ref="S1867:S1878" si="237">UPPER(D1867)</f>
        <v/>
      </c>
    </row>
    <row r="1868" spans="1:19" s="344" customFormat="1">
      <c r="A1868" s="45">
        <v>5</v>
      </c>
      <c r="B1868" s="11"/>
      <c r="C1868" s="45"/>
      <c r="D1868" s="180" t="s">
        <v>2247</v>
      </c>
      <c r="E1868" s="47"/>
      <c r="F1868" s="182"/>
      <c r="G1868" s="54"/>
      <c r="H1868" s="54"/>
      <c r="I1868" s="27"/>
      <c r="J1868" s="27"/>
      <c r="K1868" s="383"/>
      <c r="L1868" s="474"/>
      <c r="M1868" s="471"/>
      <c r="N1868" s="405"/>
      <c r="O1868" s="541"/>
      <c r="P1868" s="405"/>
      <c r="Q1868" s="405"/>
      <c r="S1868" s="344" t="str">
        <f t="shared" si="237"/>
        <v>REVESTIMENTO E TRATAMENTO DE SUPERFÍCIE/ IMPERMEABILIZAÇÕES</v>
      </c>
    </row>
    <row r="1869" spans="1:19" s="414" customFormat="1">
      <c r="A1869" s="624" t="s">
        <v>136</v>
      </c>
      <c r="B1869" s="625"/>
      <c r="C1869" s="410"/>
      <c r="D1869" s="637" t="s">
        <v>2195</v>
      </c>
      <c r="E1869" s="627"/>
      <c r="F1869" s="618"/>
      <c r="G1869" s="412"/>
      <c r="H1869" s="412"/>
      <c r="I1869" s="619"/>
      <c r="J1869" s="619"/>
      <c r="K1869" s="498"/>
      <c r="L1869" s="474"/>
      <c r="M1869" s="471"/>
      <c r="N1869" s="419"/>
      <c r="O1869" s="541"/>
      <c r="P1869" s="419"/>
      <c r="Q1869" s="419"/>
      <c r="S1869" s="414" t="str">
        <f t="shared" si="237"/>
        <v>CHAPISCO</v>
      </c>
    </row>
    <row r="1870" spans="1:19" s="414" customFormat="1">
      <c r="A1870" s="624" t="s">
        <v>135</v>
      </c>
      <c r="B1870" s="625"/>
      <c r="C1870" s="410"/>
      <c r="D1870" s="637" t="s">
        <v>2314</v>
      </c>
      <c r="E1870" s="627"/>
      <c r="F1870" s="618"/>
      <c r="G1870" s="412"/>
      <c r="H1870" s="412"/>
      <c r="I1870" s="619"/>
      <c r="J1870" s="619"/>
      <c r="K1870" s="498"/>
      <c r="L1870" s="474"/>
      <c r="M1870" s="471"/>
      <c r="N1870" s="419"/>
      <c r="O1870" s="541"/>
      <c r="P1870" s="419"/>
      <c r="Q1870" s="419"/>
      <c r="S1870" s="414" t="str">
        <f t="shared" si="237"/>
        <v xml:space="preserve">CHAPISCO </v>
      </c>
    </row>
    <row r="1871" spans="1:19" s="344" customFormat="1" ht="25.5" hidden="1">
      <c r="A1871" s="155" t="s">
        <v>134</v>
      </c>
      <c r="B1871" s="49">
        <f>'[3]Plan Tron'!B125</f>
        <v>87872</v>
      </c>
      <c r="C1871" s="49" t="str">
        <f>'[3]Plan Tron'!C125</f>
        <v>SINAPI</v>
      </c>
      <c r="D1871" s="614" t="str">
        <f>'[3]Plan Tron'!D125</f>
        <v>CHAPISCO APLICADO SOMENTE EM ESTRUTURAS DE CONCRETO EM ALVENARIAS INTERNAS, COM DESEMPENADEIRA DENTADA. ARGAMASSA INDUSTRIALIZADA COM PREPARO EM MISTURADOR 300 KG. AF_06/2014</v>
      </c>
      <c r="E1871" s="49" t="str">
        <f>'[3]Plan Tron'!E125</f>
        <v>M²</v>
      </c>
      <c r="F1871" s="8">
        <v>168.4</v>
      </c>
      <c r="G1871" s="9">
        <v>4.83</v>
      </c>
      <c r="H1871" s="9">
        <f>'[3]Plan Tron'!F125</f>
        <v>12.73</v>
      </c>
      <c r="I1871" s="27">
        <v>26.44</v>
      </c>
      <c r="J1871" s="27">
        <f>ROUND(H1871*(I1871/100+1),2)</f>
        <v>16.100000000000001</v>
      </c>
      <c r="K1871" s="383">
        <v>168.4</v>
      </c>
      <c r="L1871" s="474">
        <f>F1871-K1871</f>
        <v>0</v>
      </c>
      <c r="M1871" s="471">
        <f t="shared" si="234"/>
        <v>0</v>
      </c>
      <c r="N1871" s="405"/>
      <c r="O1871" s="541"/>
      <c r="P1871" s="405"/>
      <c r="Q1871" s="405"/>
      <c r="S1871" s="344" t="str">
        <f t="shared" si="237"/>
        <v>CHAPISCO APLICADO SOMENTE EM ESTRUTURAS DE CONCRETO EM ALVENARIAS INTERNAS, COM DESEMPENADEIRA DENTADA. ARGAMASSA INDUSTRIALIZADA COM PREPARO EM MISTURADOR 300 KG. AF_06/2014</v>
      </c>
    </row>
    <row r="1872" spans="1:19" s="414" customFormat="1">
      <c r="A1872" s="624" t="s">
        <v>133</v>
      </c>
      <c r="B1872" s="625"/>
      <c r="C1872" s="410"/>
      <c r="D1872" s="626" t="s">
        <v>2315</v>
      </c>
      <c r="E1872" s="627"/>
      <c r="F1872" s="618"/>
      <c r="G1872" s="412"/>
      <c r="H1872" s="412"/>
      <c r="I1872" s="619"/>
      <c r="J1872" s="619"/>
      <c r="K1872" s="498"/>
      <c r="L1872" s="474"/>
      <c r="M1872" s="471"/>
      <c r="N1872" s="419"/>
      <c r="O1872" s="541"/>
      <c r="P1872" s="419"/>
      <c r="Q1872" s="419"/>
      <c r="S1872" s="414" t="str">
        <f t="shared" si="237"/>
        <v xml:space="preserve">EMBOÇO </v>
      </c>
    </row>
    <row r="1873" spans="1:19" s="344" customFormat="1" ht="38.25">
      <c r="A1873" s="155" t="s">
        <v>132</v>
      </c>
      <c r="B1873" s="49">
        <f>'[3]Plan Tron'!B121</f>
        <v>87527</v>
      </c>
      <c r="C1873" s="49" t="str">
        <f>'[3]Plan Tron'!C121</f>
        <v>SINAPI</v>
      </c>
      <c r="D1873" s="614" t="str">
        <f>'[3]Plan Tron'!D121</f>
        <v>EMBOÇO, PARA RECEBIMENTO DE CERÂMICA, EM ARGAMASSA TRAÇO 1:2:8, PREPARO MECÂNICO COM BETONEIRA 400L, APLICADO MANUALMENTE EM FACES INTERNAS DE PAREDES, PARA AMBIENTE COM ÁREA MENOR QUE 5M2, ESPESSURA DE 20MM, COM EXECUÇÃO DE TALISCAS. AF_06/2014</v>
      </c>
      <c r="E1873" s="49" t="str">
        <f>'[3]Plan Tron'!E121</f>
        <v>M²</v>
      </c>
      <c r="F1873" s="8">
        <v>168.4</v>
      </c>
      <c r="G1873" s="9">
        <v>18.93</v>
      </c>
      <c r="H1873" s="9">
        <f>'[3]Plan Tron'!F121</f>
        <v>27.13</v>
      </c>
      <c r="I1873" s="27">
        <v>26.44</v>
      </c>
      <c r="J1873" s="27">
        <f>ROUND(H1873*(I1873/100+1),2)</f>
        <v>34.299999999999997</v>
      </c>
      <c r="K1873" s="383">
        <v>0</v>
      </c>
      <c r="L1873" s="474">
        <f>F1873-K1873</f>
        <v>168.4</v>
      </c>
      <c r="M1873" s="471">
        <f t="shared" si="234"/>
        <v>5776.12</v>
      </c>
      <c r="N1873" s="405"/>
      <c r="O1873" s="541"/>
      <c r="P1873" s="405"/>
      <c r="Q1873" s="405"/>
      <c r="S1873" s="344" t="str">
        <f t="shared" si="237"/>
        <v>EMBOÇO, PARA RECEBIMENTO DE CERÂMICA, EM ARGAMASSA TRAÇO 1:2:8, PREPARO MECÂNICO COM BETONEIRA 400L, APLICADO MANUALMENTE EM FACES INTERNAS DE PAREDES, PARA AMBIENTE COM ÁREA MENOR QUE 5M2, ESPESSURA DE 20MM, COM EXECUÇÃO DE TALISCAS. AF_06/2014</v>
      </c>
    </row>
    <row r="1874" spans="1:19" s="414" customFormat="1">
      <c r="A1874" s="624" t="s">
        <v>126</v>
      </c>
      <c r="B1874" s="625"/>
      <c r="C1874" s="410"/>
      <c r="D1874" s="626" t="s">
        <v>2316</v>
      </c>
      <c r="E1874" s="627"/>
      <c r="F1874" s="618"/>
      <c r="G1874" s="412"/>
      <c r="H1874" s="412"/>
      <c r="I1874" s="619"/>
      <c r="J1874" s="619"/>
      <c r="K1874" s="498"/>
      <c r="L1874" s="474"/>
      <c r="M1874" s="471"/>
      <c r="N1874" s="419"/>
      <c r="O1874" s="541"/>
      <c r="P1874" s="419"/>
      <c r="Q1874" s="419"/>
      <c r="S1874" s="414" t="str">
        <f t="shared" si="237"/>
        <v xml:space="preserve">REBOCO </v>
      </c>
    </row>
    <row r="1875" spans="1:19" s="344" customFormat="1" ht="38.25" customHeight="1">
      <c r="A1875" s="155" t="s">
        <v>125</v>
      </c>
      <c r="B1875" s="49">
        <f>'[3]Plan Tron'!B169</f>
        <v>90408</v>
      </c>
      <c r="C1875" s="49" t="str">
        <f>'[3]Plan Tron'!C169</f>
        <v>SINAPI</v>
      </c>
      <c r="D1875" s="179" t="str">
        <f>'[3]Plan Tron'!D169</f>
        <v>MASSA ÚNICA, PARA RECEBIMENTO DE PINTURA, EM ARGAMASSA TRAÇO 1:2:8, PREPARO MECÂNICO COM BETONEIRA 400L, APLICADA MANUALMENTE EM TETO, ESPESSURA DE 10MM, COM EXECUÇÃO DE TALISCAS. AF_03/2015</v>
      </c>
      <c r="E1875" s="361" t="str">
        <f>'[3]Plan Tron'!E169</f>
        <v>M²</v>
      </c>
      <c r="F1875" s="8">
        <v>168.4</v>
      </c>
      <c r="G1875" s="9">
        <v>12.45</v>
      </c>
      <c r="H1875" s="9">
        <f>'[3]Plan Tron'!F169</f>
        <v>23.78</v>
      </c>
      <c r="I1875" s="27">
        <v>26.44</v>
      </c>
      <c r="J1875" s="27">
        <f>ROUND(H1875*(I1875/100+1),2)</f>
        <v>30.07</v>
      </c>
      <c r="K1875" s="383">
        <v>0</v>
      </c>
      <c r="L1875" s="474">
        <f>F1875-K1875</f>
        <v>168.4</v>
      </c>
      <c r="M1875" s="471">
        <f t="shared" si="234"/>
        <v>5063.79</v>
      </c>
      <c r="N1875" s="405"/>
      <c r="O1875" s="541"/>
      <c r="P1875" s="405"/>
      <c r="Q1875" s="405"/>
      <c r="S1875" s="344" t="str">
        <f t="shared" si="237"/>
        <v>MASSA ÚNICA, PARA RECEBIMENTO DE PINTURA, EM ARGAMASSA TRAÇO 1:2:8, PREPARO MECÂNICO COM BETONEIRA 400L, APLICADA MANUALMENTE EM TETO, ESPESSURA DE 10MM, COM EXECUÇÃO DE TALISCAS. AF_03/2015</v>
      </c>
    </row>
    <row r="1876" spans="1:19" s="414" customFormat="1">
      <c r="A1876" s="410" t="s">
        <v>123</v>
      </c>
      <c r="B1876" s="411"/>
      <c r="C1876" s="410"/>
      <c r="D1876" s="429" t="s">
        <v>2317</v>
      </c>
      <c r="E1876" s="617"/>
      <c r="F1876" s="618"/>
      <c r="G1876" s="412"/>
      <c r="H1876" s="412"/>
      <c r="I1876" s="619"/>
      <c r="J1876" s="619"/>
      <c r="K1876" s="498"/>
      <c r="L1876" s="474"/>
      <c r="M1876" s="471"/>
      <c r="N1876" s="419"/>
      <c r="O1876" s="541"/>
      <c r="P1876" s="419"/>
      <c r="Q1876" s="419"/>
      <c r="S1876" s="414" t="str">
        <f t="shared" si="237"/>
        <v>IMPERMEABILIZAÇÃO BETUMINOSA COM EMULSÃO ASFÁLTICA E ACRÍLICA.</v>
      </c>
    </row>
    <row r="1877" spans="1:19" s="414" customFormat="1" ht="25.5" hidden="1">
      <c r="A1877" s="410" t="s">
        <v>122</v>
      </c>
      <c r="B1877" s="411"/>
      <c r="C1877" s="410"/>
      <c r="D1877" s="429" t="s">
        <v>2318</v>
      </c>
      <c r="E1877" s="617"/>
      <c r="F1877" s="618"/>
      <c r="G1877" s="412"/>
      <c r="H1877" s="412"/>
      <c r="I1877" s="619"/>
      <c r="J1877" s="619"/>
      <c r="K1877" s="498"/>
      <c r="L1877" s="474"/>
      <c r="M1877" s="471"/>
      <c r="N1877" s="419"/>
      <c r="O1877" s="541"/>
      <c r="P1877" s="419"/>
      <c r="Q1877" s="419"/>
      <c r="S1877" s="414" t="str">
        <f t="shared" si="237"/>
        <v>IMPERMEABILIZAÇÃO DE FUNDAÇÕES/ BALDRAMES/ MUROS DE ARRIMO / ALICERCES E REVESTIMENTO EM CONTATO COM SOLO - UTILIZAÇÃO DE TINTA BETUMINOSA TIPO NEUTROLIN / 2 DEMÃOS.</v>
      </c>
    </row>
    <row r="1878" spans="1:19" s="344" customFormat="1" hidden="1">
      <c r="A1878" s="49" t="s">
        <v>805</v>
      </c>
      <c r="B1878" s="49" t="str">
        <f>'[3]Plan Tron'!B71</f>
        <v>74106/001</v>
      </c>
      <c r="C1878" s="49" t="str">
        <f>'[3]Plan Tron'!C71</f>
        <v>SINAPI</v>
      </c>
      <c r="D1878" s="612" t="str">
        <f>'[3]Plan Tron'!D71</f>
        <v>IMPERMEABILIZACAO DE ESTRUTURAS ENTERRADAS,COM TINTA ASFALTICA, DUAS DEMÃOS.</v>
      </c>
      <c r="E1878" s="49" t="str">
        <f>'[3]Plan Tron'!E71</f>
        <v>M²</v>
      </c>
      <c r="F1878" s="8">
        <v>20.8</v>
      </c>
      <c r="G1878" s="9">
        <v>6.65</v>
      </c>
      <c r="H1878" s="9">
        <f>'[3]Plan Tron'!F71</f>
        <v>9.2899999999999991</v>
      </c>
      <c r="I1878" s="27">
        <v>26.44</v>
      </c>
      <c r="J1878" s="27">
        <f>ROUND(H1878*(I1878/100+1),2)</f>
        <v>11.75</v>
      </c>
      <c r="K1878" s="383">
        <v>20.8</v>
      </c>
      <c r="L1878" s="474">
        <f>F1878-K1878</f>
        <v>0</v>
      </c>
      <c r="M1878" s="471">
        <f t="shared" si="234"/>
        <v>0</v>
      </c>
      <c r="N1878" s="405"/>
      <c r="O1878" s="541"/>
      <c r="P1878" s="405"/>
      <c r="Q1878" s="405"/>
      <c r="S1878" s="344" t="str">
        <f t="shared" si="237"/>
        <v>IMPERMEABILIZACAO DE ESTRUTURAS ENTERRADAS,COM TINTA ASFALTICA, DUAS DEMÃOS.</v>
      </c>
    </row>
    <row r="1879" spans="1:19" s="344" customFormat="1">
      <c r="A1879" s="49"/>
      <c r="B1879" s="11"/>
      <c r="C1879" s="49"/>
      <c r="D1879" s="17"/>
      <c r="E1879" s="7"/>
      <c r="F1879" s="8"/>
      <c r="G1879" s="9"/>
      <c r="H1879" s="9"/>
      <c r="I1879" s="27"/>
      <c r="J1879" s="27"/>
      <c r="K1879" s="17"/>
      <c r="L1879" s="474"/>
      <c r="M1879" s="471"/>
      <c r="N1879" s="405"/>
      <c r="O1879" s="541"/>
      <c r="P1879" s="405"/>
      <c r="Q1879" s="405"/>
    </row>
    <row r="1880" spans="1:19" s="344" customFormat="1">
      <c r="A1880" s="49"/>
      <c r="B1880" s="11"/>
      <c r="C1880" s="49"/>
      <c r="D1880" s="130" t="s">
        <v>76</v>
      </c>
      <c r="E1880" s="7"/>
      <c r="F1880" s="8"/>
      <c r="G1880" s="9"/>
      <c r="H1880" s="9"/>
      <c r="I1880" s="27"/>
      <c r="J1880" s="27"/>
      <c r="K1880" s="383"/>
      <c r="L1880" s="474"/>
      <c r="M1880" s="471"/>
      <c r="N1880" s="405"/>
      <c r="O1880" s="541"/>
      <c r="P1880" s="405"/>
      <c r="Q1880" s="405"/>
      <c r="S1880" s="344" t="str">
        <f>UPPER(D1880)</f>
        <v/>
      </c>
    </row>
    <row r="1881" spans="1:19" s="344" customFormat="1">
      <c r="A1881" s="45">
        <v>6</v>
      </c>
      <c r="B1881" s="11"/>
      <c r="C1881" s="45"/>
      <c r="D1881" s="53" t="s">
        <v>2107</v>
      </c>
      <c r="E1881" s="7"/>
      <c r="F1881" s="8"/>
      <c r="G1881" s="9"/>
      <c r="H1881" s="9"/>
      <c r="I1881" s="27"/>
      <c r="J1881" s="27"/>
      <c r="K1881" s="383"/>
      <c r="L1881" s="474"/>
      <c r="M1881" s="471"/>
      <c r="N1881" s="405"/>
      <c r="O1881" s="541"/>
      <c r="P1881" s="405"/>
      <c r="Q1881" s="405"/>
      <c r="S1881" s="344" t="str">
        <f>UPPER(D1881)</f>
        <v>PINTURAS</v>
      </c>
    </row>
    <row r="1882" spans="1:19" s="414" customFormat="1">
      <c r="A1882" s="624" t="s">
        <v>120</v>
      </c>
      <c r="B1882" s="625"/>
      <c r="C1882" s="410"/>
      <c r="D1882" s="626" t="s">
        <v>2108</v>
      </c>
      <c r="E1882" s="627"/>
      <c r="F1882" s="618"/>
      <c r="G1882" s="412"/>
      <c r="H1882" s="412"/>
      <c r="I1882" s="619"/>
      <c r="J1882" s="619"/>
      <c r="K1882" s="498"/>
      <c r="L1882" s="474"/>
      <c r="M1882" s="471"/>
      <c r="N1882" s="419"/>
      <c r="O1882" s="541"/>
      <c r="P1882" s="419"/>
      <c r="Q1882" s="419"/>
      <c r="S1882" s="414" t="str">
        <f>UPPER(D1882)</f>
        <v>PINTURA DE PAREDE</v>
      </c>
    </row>
    <row r="1883" spans="1:19" s="414" customFormat="1">
      <c r="A1883" s="624" t="s">
        <v>119</v>
      </c>
      <c r="B1883" s="625"/>
      <c r="C1883" s="410"/>
      <c r="D1883" s="626" t="s">
        <v>2199</v>
      </c>
      <c r="E1883" s="627"/>
      <c r="F1883" s="618"/>
      <c r="G1883" s="412"/>
      <c r="H1883" s="412"/>
      <c r="I1883" s="619"/>
      <c r="J1883" s="619"/>
      <c r="K1883" s="498"/>
      <c r="L1883" s="474"/>
      <c r="M1883" s="471"/>
      <c r="N1883" s="419"/>
      <c r="O1883" s="541"/>
      <c r="P1883" s="419"/>
      <c r="Q1883" s="419"/>
      <c r="S1883" s="414" t="str">
        <f>UPPER(D1883)</f>
        <v>PINTURA LÁTEX ACRÍLICA EXTERNA / INTERNA S/ SELADOR</v>
      </c>
    </row>
    <row r="1884" spans="1:19" s="344" customFormat="1">
      <c r="A1884" s="155" t="s">
        <v>118</v>
      </c>
      <c r="B1884" s="49" t="str">
        <f>'[3]Plan Tron'!B72</f>
        <v xml:space="preserve">88489 </v>
      </c>
      <c r="C1884" s="49" t="str">
        <f>'[3]Plan Tron'!C72</f>
        <v>SINAPI</v>
      </c>
      <c r="D1884" s="612" t="str">
        <f>'[3]Plan Tron'!D72</f>
        <v>APLICAÇÃO MANUAL DE PINTURA COM TINTA LÁTEX ACRÍLICA EM PAREDES, DUAS DEMÃOS. AF_06/2014</v>
      </c>
      <c r="E1884" s="49" t="str">
        <f>'[3]Plan Tron'!E72</f>
        <v>M²</v>
      </c>
      <c r="F1884" s="8">
        <v>168.4</v>
      </c>
      <c r="G1884" s="9">
        <v>8.39</v>
      </c>
      <c r="H1884" s="9">
        <f>'[3]Plan Tron'!F72</f>
        <v>9.69</v>
      </c>
      <c r="I1884" s="27">
        <v>26.44</v>
      </c>
      <c r="J1884" s="27">
        <f>ROUND(H1884*(I1884/100+1),2)</f>
        <v>12.25</v>
      </c>
      <c r="K1884" s="383">
        <v>0</v>
      </c>
      <c r="L1884" s="474">
        <f>F1884-K1884</f>
        <v>168.4</v>
      </c>
      <c r="M1884" s="471">
        <f t="shared" si="234"/>
        <v>2062.9</v>
      </c>
      <c r="N1884" s="405"/>
      <c r="O1884" s="541"/>
      <c r="P1884" s="405"/>
      <c r="Q1884" s="405"/>
      <c r="S1884" s="344" t="str">
        <f>UPPER(D1884)</f>
        <v>APLICAÇÃO MANUAL DE PINTURA COM TINTA LÁTEX ACRÍLICA EM PAREDES, DUAS DEMÃOS. AF_06/2014</v>
      </c>
    </row>
    <row r="1885" spans="1:19" s="344" customFormat="1">
      <c r="A1885" s="155"/>
      <c r="B1885" s="174"/>
      <c r="C1885" s="155"/>
      <c r="D1885" s="17"/>
      <c r="E1885" s="154"/>
      <c r="F1885" s="8"/>
      <c r="G1885" s="312"/>
      <c r="H1885" s="9"/>
      <c r="I1885" s="27"/>
      <c r="J1885" s="27"/>
      <c r="K1885" s="17"/>
      <c r="L1885" s="474"/>
      <c r="M1885" s="471"/>
      <c r="N1885" s="405"/>
      <c r="O1885" s="541"/>
      <c r="P1885" s="405"/>
      <c r="Q1885" s="405"/>
    </row>
    <row r="1886" spans="1:19" s="344" customFormat="1">
      <c r="A1886" s="155"/>
      <c r="B1886" s="174"/>
      <c r="C1886" s="155"/>
      <c r="D1886" s="183" t="s">
        <v>76</v>
      </c>
      <c r="E1886" s="154"/>
      <c r="F1886" s="8"/>
      <c r="G1886" s="312"/>
      <c r="H1886" s="9"/>
      <c r="I1886" s="27"/>
      <c r="J1886" s="27"/>
      <c r="K1886" s="383"/>
      <c r="L1886" s="474"/>
      <c r="M1886" s="471"/>
      <c r="N1886" s="405"/>
      <c r="O1886" s="541"/>
      <c r="P1886" s="405"/>
      <c r="Q1886" s="405"/>
      <c r="S1886" s="344" t="str">
        <f t="shared" ref="S1886:S1891" si="238">UPPER(D1886)</f>
        <v/>
      </c>
    </row>
    <row r="1887" spans="1:19" s="344" customFormat="1">
      <c r="A1887" s="155"/>
      <c r="B1887" s="174"/>
      <c r="C1887" s="155"/>
      <c r="D1887" s="179" t="s">
        <v>76</v>
      </c>
      <c r="E1887" s="154"/>
      <c r="F1887" s="8"/>
      <c r="G1887" s="312"/>
      <c r="H1887" s="9"/>
      <c r="I1887" s="27"/>
      <c r="J1887" s="27"/>
      <c r="K1887" s="383"/>
      <c r="L1887" s="474"/>
      <c r="M1887" s="471"/>
      <c r="N1887" s="405"/>
      <c r="O1887" s="541"/>
      <c r="P1887" s="405"/>
      <c r="Q1887" s="405"/>
      <c r="S1887" s="344" t="str">
        <f t="shared" si="238"/>
        <v/>
      </c>
    </row>
    <row r="1888" spans="1:19" s="344" customFormat="1">
      <c r="A1888" s="152">
        <v>7</v>
      </c>
      <c r="B1888" s="11"/>
      <c r="C1888" s="152"/>
      <c r="D1888" s="184" t="s">
        <v>2125</v>
      </c>
      <c r="E1888" s="7"/>
      <c r="F1888" s="8"/>
      <c r="G1888" s="9"/>
      <c r="H1888" s="9"/>
      <c r="I1888" s="27"/>
      <c r="J1888" s="27"/>
      <c r="K1888" s="383"/>
      <c r="L1888" s="474"/>
      <c r="M1888" s="471"/>
      <c r="N1888" s="405"/>
      <c r="O1888" s="541"/>
      <c r="P1888" s="405"/>
      <c r="Q1888" s="405"/>
      <c r="S1888" s="344" t="str">
        <f t="shared" si="238"/>
        <v>COBERTURA</v>
      </c>
    </row>
    <row r="1889" spans="1:37" s="414" customFormat="1">
      <c r="A1889" s="624" t="s">
        <v>109</v>
      </c>
      <c r="B1889" s="625"/>
      <c r="C1889" s="410"/>
      <c r="D1889" s="626" t="s">
        <v>2126</v>
      </c>
      <c r="E1889" s="627"/>
      <c r="F1889" s="618"/>
      <c r="G1889" s="412"/>
      <c r="H1889" s="412"/>
      <c r="I1889" s="619"/>
      <c r="J1889" s="619"/>
      <c r="K1889" s="498"/>
      <c r="L1889" s="474"/>
      <c r="M1889" s="471"/>
      <c r="N1889" s="419"/>
      <c r="O1889" s="541"/>
      <c r="P1889" s="419"/>
      <c r="Q1889" s="419"/>
      <c r="S1889" s="414" t="str">
        <f t="shared" si="238"/>
        <v>TELHAMENTO COM TELHA DE FIBROCIMENTO</v>
      </c>
    </row>
    <row r="1890" spans="1:37" s="344" customFormat="1" ht="25.5">
      <c r="A1890" s="155" t="s">
        <v>108</v>
      </c>
      <c r="B1890" s="49">
        <f>'[3]Plan Tron'!B85</f>
        <v>94218</v>
      </c>
      <c r="C1890" s="49" t="str">
        <f>'[3]Plan Tron'!C85</f>
        <v>SINAPI</v>
      </c>
      <c r="D1890" s="614" t="str">
        <f>'[3]Plan Tron'!D85</f>
        <v xml:space="preserve"> TELHAMENTO COM TELHA ESTRUTURAL DE FIBROCIMENTO E= 6 MM, COM ATÉ 2 ÁGUAS, INCLUSO IÇAMENTO. AF_06/2016</v>
      </c>
      <c r="E1890" s="49" t="str">
        <f>'[3]Plan Tron'!E85</f>
        <v>M²</v>
      </c>
      <c r="F1890" s="8">
        <v>45.03</v>
      </c>
      <c r="G1890" s="9">
        <v>36.33</v>
      </c>
      <c r="H1890" s="9">
        <f>'[3]Plan Tron'!F85</f>
        <v>84.16</v>
      </c>
      <c r="I1890" s="27">
        <v>26.44</v>
      </c>
      <c r="J1890" s="27">
        <f>ROUND(H1890*(I1890/100+1),2)</f>
        <v>106.41</v>
      </c>
      <c r="K1890" s="383">
        <v>0</v>
      </c>
      <c r="L1890" s="474">
        <f>F1890-K1890</f>
        <v>45.03</v>
      </c>
      <c r="M1890" s="471">
        <f t="shared" si="234"/>
        <v>4791.6400000000003</v>
      </c>
      <c r="N1890" s="405"/>
      <c r="O1890" s="541"/>
      <c r="P1890" s="405"/>
      <c r="Q1890" s="405"/>
      <c r="S1890" s="344" t="str">
        <f t="shared" si="238"/>
        <v xml:space="preserve"> TELHAMENTO COM TELHA ESTRUTURAL DE FIBROCIMENTO E= 6 MM, COM ATÉ 2 ÁGUAS, INCLUSO IÇAMENTO. AF_06/2016</v>
      </c>
    </row>
    <row r="1891" spans="1:37" s="344" customFormat="1">
      <c r="A1891" s="155" t="s">
        <v>106</v>
      </c>
      <c r="B1891" s="174" t="s">
        <v>1827</v>
      </c>
      <c r="C1891" s="155"/>
      <c r="D1891" s="179" t="s">
        <v>2319</v>
      </c>
      <c r="E1891" s="154" t="s">
        <v>2343</v>
      </c>
      <c r="F1891" s="8">
        <v>1</v>
      </c>
      <c r="G1891" s="9">
        <v>354.38</v>
      </c>
      <c r="H1891" s="9">
        <f t="shared" ref="H1891" si="239">G1891*$P$7</f>
        <v>409.41521399999999</v>
      </c>
      <c r="I1891" s="27">
        <v>26.44</v>
      </c>
      <c r="J1891" s="27">
        <f>ROUND(H1891*(I1891/100+1),2)</f>
        <v>517.66</v>
      </c>
      <c r="K1891" s="383">
        <v>0</v>
      </c>
      <c r="L1891" s="474">
        <f>F1891-K1891</f>
        <v>1</v>
      </c>
      <c r="M1891" s="471">
        <f t="shared" si="234"/>
        <v>517.66</v>
      </c>
      <c r="N1891" s="405"/>
      <c r="O1891" s="541"/>
      <c r="P1891" s="405"/>
      <c r="Q1891" s="405"/>
      <c r="S1891" s="344" t="str">
        <f t="shared" si="238"/>
        <v>FIXAÇÃO DA TELHA DE FIBROCIMENTO</v>
      </c>
    </row>
    <row r="1892" spans="1:37">
      <c r="A1892" s="49"/>
      <c r="B1892" s="50"/>
      <c r="C1892" s="49"/>
      <c r="D1892" s="466"/>
      <c r="E1892" s="154"/>
      <c r="F1892" s="175"/>
      <c r="G1892" s="9"/>
      <c r="H1892" s="9"/>
      <c r="I1892" s="9"/>
      <c r="J1892" s="9"/>
      <c r="K1892" s="466"/>
      <c r="L1892" s="474"/>
      <c r="M1892" s="472"/>
      <c r="N1892" s="405"/>
      <c r="O1892" s="541"/>
      <c r="P1892" s="405"/>
      <c r="Q1892" s="405"/>
    </row>
    <row r="1893" spans="1:37" s="299" customFormat="1">
      <c r="A1893" s="340"/>
      <c r="B1893" s="338"/>
      <c r="C1893" s="338"/>
      <c r="D1893" s="341"/>
      <c r="E1893" s="340"/>
      <c r="F1893" s="338"/>
      <c r="G1893" s="338"/>
      <c r="H1893" s="338"/>
      <c r="I1893" s="338"/>
      <c r="J1893" s="338"/>
      <c r="K1893" s="341"/>
      <c r="L1893" s="474"/>
      <c r="M1893" s="471"/>
      <c r="N1893" s="405"/>
      <c r="O1893" s="541"/>
      <c r="P1893" s="405"/>
      <c r="Q1893" s="405"/>
      <c r="R1893" s="388"/>
      <c r="S1893" s="344" t="str">
        <f>UPPER(D1893)</f>
        <v/>
      </c>
      <c r="T1893" s="388"/>
      <c r="U1893" s="388"/>
      <c r="V1893" s="388"/>
      <c r="W1893" s="388"/>
      <c r="X1893" s="388"/>
      <c r="Y1893" s="388"/>
      <c r="Z1893" s="388"/>
      <c r="AA1893" s="388"/>
      <c r="AB1893" s="388"/>
      <c r="AC1893" s="388"/>
      <c r="AD1893" s="388"/>
      <c r="AE1893" s="388"/>
      <c r="AF1893" s="388"/>
      <c r="AG1893" s="388"/>
      <c r="AH1893" s="388"/>
      <c r="AI1893" s="388"/>
      <c r="AJ1893" s="388"/>
      <c r="AK1893" s="388"/>
    </row>
    <row r="1894" spans="1:37" s="415" customFormat="1">
      <c r="A1894" s="530"/>
      <c r="B1894" s="418"/>
      <c r="C1894" s="418"/>
      <c r="D1894" s="511" t="s">
        <v>2381</v>
      </c>
      <c r="E1894" s="530" t="s">
        <v>76</v>
      </c>
      <c r="F1894" s="418"/>
      <c r="G1894" s="418"/>
      <c r="H1894" s="418"/>
      <c r="I1894" s="418"/>
      <c r="J1894" s="418"/>
      <c r="K1894" s="511"/>
      <c r="L1894" s="476"/>
      <c r="M1894" s="505">
        <f>SUM(M1830:M1891)</f>
        <v>43952.520000000004</v>
      </c>
      <c r="N1894" s="419"/>
      <c r="O1894" s="541"/>
      <c r="P1894" s="419"/>
      <c r="Q1894" s="419"/>
      <c r="R1894" s="414"/>
      <c r="S1894" s="414" t="str">
        <f>UPPER(D1894)</f>
        <v>TOTAL ITEM 33</v>
      </c>
      <c r="T1894" s="414"/>
      <c r="U1894" s="414"/>
      <c r="V1894" s="414"/>
      <c r="W1894" s="414"/>
      <c r="X1894" s="414"/>
      <c r="Y1894" s="414"/>
      <c r="Z1894" s="414"/>
      <c r="AA1894" s="414"/>
      <c r="AB1894" s="414"/>
      <c r="AC1894" s="414"/>
      <c r="AD1894" s="414"/>
      <c r="AE1894" s="414"/>
      <c r="AF1894" s="414"/>
      <c r="AG1894" s="414"/>
      <c r="AH1894" s="414"/>
      <c r="AI1894" s="414"/>
      <c r="AJ1894" s="414"/>
      <c r="AK1894" s="414"/>
    </row>
    <row r="1895" spans="1:37">
      <c r="A1895" s="409"/>
      <c r="B1895" s="339"/>
      <c r="C1895" s="339"/>
      <c r="D1895" s="440"/>
      <c r="E1895" s="409"/>
      <c r="F1895" s="339"/>
      <c r="G1895" s="339"/>
      <c r="H1895" s="339"/>
      <c r="I1895" s="339"/>
      <c r="J1895" s="339"/>
      <c r="K1895" s="383"/>
      <c r="L1895" s="474"/>
      <c r="M1895" s="471"/>
      <c r="N1895" s="405"/>
      <c r="O1895" s="541"/>
      <c r="P1895" s="405"/>
      <c r="Q1895" s="405"/>
    </row>
    <row r="1896" spans="1:37" s="450" customFormat="1">
      <c r="A1896" s="445" t="s">
        <v>23</v>
      </c>
      <c r="B1896" s="446"/>
      <c r="C1896" s="447"/>
      <c r="D1896" s="448" t="s">
        <v>2007</v>
      </c>
      <c r="E1896" s="453" t="s">
        <v>76</v>
      </c>
      <c r="F1896" s="446"/>
      <c r="G1896" s="446"/>
      <c r="H1896" s="446"/>
      <c r="I1896" s="446"/>
      <c r="J1896" s="446"/>
      <c r="K1896" s="473"/>
      <c r="L1896" s="478"/>
      <c r="M1896" s="479"/>
      <c r="N1896" s="454"/>
      <c r="O1896" s="541"/>
      <c r="P1896" s="454"/>
      <c r="Q1896" s="454"/>
      <c r="S1896" s="450" t="str">
        <f t="shared" ref="S1896:S1920" si="240">UPPER(D1896)</f>
        <v>INSTALAÇÕES ELÉTRICAS (SALA DO QDG)</v>
      </c>
    </row>
    <row r="1897" spans="1:37">
      <c r="A1897" s="45"/>
      <c r="B1897" s="57"/>
      <c r="C1897" s="45"/>
      <c r="D1897" s="53" t="s">
        <v>2320</v>
      </c>
      <c r="E1897" s="47" t="s">
        <v>76</v>
      </c>
      <c r="F1897" s="48"/>
      <c r="G1897" s="312"/>
      <c r="H1897" s="9"/>
      <c r="I1897" s="9"/>
      <c r="J1897" s="9"/>
      <c r="K1897" s="383"/>
      <c r="L1897" s="474"/>
      <c r="M1897" s="471"/>
      <c r="N1897" s="405"/>
      <c r="O1897" s="541"/>
      <c r="P1897" s="405"/>
      <c r="Q1897" s="405"/>
      <c r="S1897" s="344" t="str">
        <f t="shared" si="240"/>
        <v>MONTAGEM DE MATERIAIS E EQUIPAMENTOS ELÉTRICOS, DE AUTOMAÇÃO E DIVERSOS - SALA DE PAINÉIS</v>
      </c>
    </row>
    <row r="1898" spans="1:37">
      <c r="A1898" s="45">
        <v>1</v>
      </c>
      <c r="B1898" s="57"/>
      <c r="C1898" s="45"/>
      <c r="D1898" s="53" t="s">
        <v>2321</v>
      </c>
      <c r="E1898" s="47" t="s">
        <v>76</v>
      </c>
      <c r="F1898" s="48"/>
      <c r="G1898" s="9"/>
      <c r="H1898" s="9"/>
      <c r="I1898" s="9"/>
      <c r="J1898" s="9"/>
      <c r="K1898" s="383"/>
      <c r="L1898" s="474"/>
      <c r="M1898" s="471"/>
      <c r="N1898" s="405"/>
      <c r="O1898" s="541"/>
      <c r="P1898" s="405"/>
      <c r="Q1898" s="405"/>
      <c r="S1898" s="344" t="str">
        <f t="shared" si="240"/>
        <v>MONTAGEM ELÉTRICA</v>
      </c>
    </row>
    <row r="1899" spans="1:37" s="344" customFormat="1">
      <c r="A1899" s="49" t="s">
        <v>20</v>
      </c>
      <c r="B1899" s="50" t="s">
        <v>1830</v>
      </c>
      <c r="C1899" s="49"/>
      <c r="D1899" s="130" t="s">
        <v>2322</v>
      </c>
      <c r="E1899" s="7" t="s">
        <v>2337</v>
      </c>
      <c r="F1899" s="27">
        <v>1</v>
      </c>
      <c r="G1899" s="9">
        <v>1816.4</v>
      </c>
      <c r="H1899" s="9">
        <f t="shared" ref="H1899:H1900" si="241">G1899*$P$7</f>
        <v>2098.4869200000003</v>
      </c>
      <c r="I1899" s="9">
        <v>26.44</v>
      </c>
      <c r="J1899" s="9">
        <f>ROUND(H1899*(I1899/100+1),2)</f>
        <v>2653.33</v>
      </c>
      <c r="K1899" s="383">
        <v>0</v>
      </c>
      <c r="L1899" s="474">
        <f>F1899-K1899</f>
        <v>1</v>
      </c>
      <c r="M1899" s="471">
        <f t="shared" ref="M1899:M1920" si="242">ROUND(L1899*J1899,2)</f>
        <v>2653.33</v>
      </c>
      <c r="N1899" s="405"/>
      <c r="O1899" s="541"/>
      <c r="P1899" s="405"/>
      <c r="Q1899" s="405"/>
      <c r="S1899" s="344" t="str">
        <f t="shared" si="240"/>
        <v>INSTALAÇÃO DE PAINÉIS, CONFORME COMPOSIÇÃO EM ANEXO.</v>
      </c>
    </row>
    <row r="1900" spans="1:37" s="344" customFormat="1">
      <c r="A1900" s="49" t="s">
        <v>19</v>
      </c>
      <c r="B1900" s="50" t="s">
        <v>1829</v>
      </c>
      <c r="C1900" s="49"/>
      <c r="D1900" s="130" t="s">
        <v>2150</v>
      </c>
      <c r="E1900" s="18" t="s">
        <v>2337</v>
      </c>
      <c r="F1900" s="36">
        <v>1</v>
      </c>
      <c r="G1900" s="9">
        <v>1089.8400000000001</v>
      </c>
      <c r="H1900" s="9">
        <f t="shared" si="241"/>
        <v>1259.0921520000002</v>
      </c>
      <c r="I1900" s="9">
        <v>26.44</v>
      </c>
      <c r="J1900" s="9">
        <f>ROUND(H1900*(I1900/100+1),2)</f>
        <v>1592</v>
      </c>
      <c r="K1900" s="383">
        <v>0</v>
      </c>
      <c r="L1900" s="474">
        <f>F1900-K1900</f>
        <v>1</v>
      </c>
      <c r="M1900" s="471">
        <f t="shared" si="242"/>
        <v>1592</v>
      </c>
      <c r="N1900" s="405"/>
      <c r="O1900" s="541"/>
      <c r="P1900" s="405"/>
      <c r="Q1900" s="405"/>
      <c r="S1900" s="344" t="str">
        <f t="shared" si="240"/>
        <v>MONTAGEM DE MATERIAIS ELÉTRICOS DE  BAIXA TENSÃO, CONFORME COMPOSIÇÃO EM ANEXO.</v>
      </c>
    </row>
    <row r="1901" spans="1:37" s="414" customFormat="1">
      <c r="A1901" s="410" t="s">
        <v>18</v>
      </c>
      <c r="B1901" s="428"/>
      <c r="C1901" s="410"/>
      <c r="D1901" s="429" t="s">
        <v>2090</v>
      </c>
      <c r="E1901" s="421"/>
      <c r="F1901" s="623"/>
      <c r="G1901" s="412"/>
      <c r="H1901" s="412"/>
      <c r="I1901" s="412"/>
      <c r="J1901" s="412"/>
      <c r="K1901" s="498"/>
      <c r="L1901" s="474"/>
      <c r="M1901" s="471"/>
      <c r="N1901" s="419"/>
      <c r="O1901" s="541"/>
      <c r="P1901" s="419"/>
      <c r="Q1901" s="419"/>
      <c r="S1901" s="414" t="str">
        <f t="shared" si="240"/>
        <v>FIOS E CABOS</v>
      </c>
    </row>
    <row r="1902" spans="1:37" s="344" customFormat="1" ht="25.5">
      <c r="A1902" s="49" t="s">
        <v>201</v>
      </c>
      <c r="B1902" s="49">
        <f>'[3]Plan Tron'!B45</f>
        <v>92980</v>
      </c>
      <c r="C1902" s="49" t="str">
        <f>'[3]Plan Tron'!C45</f>
        <v>SINAPI</v>
      </c>
      <c r="D1902" s="614" t="str">
        <f>'[3]Plan Tron'!D45</f>
        <v>CABO DE COBRE FLEXÍVEL ISOLADO, 10 MM², ANTI-CHAMA 0,6/1,0 KV, PARA DISTRIBUIÇÃO - FORNECIMENTO E INSTALAÇÃO. AF_12/2015</v>
      </c>
      <c r="E1902" s="49" t="str">
        <f>'[3]Plan Tron'!E45</f>
        <v>M</v>
      </c>
      <c r="F1902" s="27">
        <v>30</v>
      </c>
      <c r="G1902" s="9">
        <v>6.44</v>
      </c>
      <c r="H1902" s="9">
        <f>'[3]Plan Tron'!F45</f>
        <v>5.07</v>
      </c>
      <c r="I1902" s="9">
        <v>26.44</v>
      </c>
      <c r="J1902" s="9">
        <f>ROUND(H1902*(I1902/100+1),2)</f>
        <v>6.41</v>
      </c>
      <c r="K1902" s="383">
        <v>0</v>
      </c>
      <c r="L1902" s="474">
        <f t="shared" ref="L1902:L1910" si="243">F1902-K1902</f>
        <v>30</v>
      </c>
      <c r="M1902" s="471">
        <f t="shared" si="242"/>
        <v>192.3</v>
      </c>
      <c r="N1902" s="405"/>
      <c r="O1902" s="541"/>
      <c r="P1902" s="405"/>
      <c r="Q1902" s="405"/>
      <c r="S1902" s="344" t="str">
        <f t="shared" si="240"/>
        <v>CABO DE COBRE FLEXÍVEL ISOLADO, 10 MM², ANTI-CHAMA 0,6/1,0 KV, PARA DISTRIBUIÇÃO - FORNECIMENTO E INSTALAÇÃO. AF_12/2015</v>
      </c>
    </row>
    <row r="1903" spans="1:37" s="344" customFormat="1" ht="25.5">
      <c r="A1903" s="49" t="s">
        <v>198</v>
      </c>
      <c r="B1903" s="49">
        <f>B1902</f>
        <v>92980</v>
      </c>
      <c r="C1903" s="49" t="str">
        <f>C1902</f>
        <v>SINAPI</v>
      </c>
      <c r="D1903" s="614" t="str">
        <f t="shared" ref="D1903:E1903" si="244">D1902</f>
        <v>CABO DE COBRE FLEXÍVEL ISOLADO, 10 MM², ANTI-CHAMA 0,6/1,0 KV, PARA DISTRIBUIÇÃO - FORNECIMENTO E INSTALAÇÃO. AF_12/2015</v>
      </c>
      <c r="E1903" s="49" t="str">
        <f t="shared" si="244"/>
        <v>M</v>
      </c>
      <c r="F1903" s="27">
        <v>10</v>
      </c>
      <c r="G1903" s="9">
        <v>6.44</v>
      </c>
      <c r="H1903" s="9">
        <f>H1902</f>
        <v>5.07</v>
      </c>
      <c r="I1903" s="9">
        <v>26.44</v>
      </c>
      <c r="J1903" s="9">
        <f>ROUND(H1903*(I1903/100+1),2)</f>
        <v>6.41</v>
      </c>
      <c r="K1903" s="383">
        <v>0</v>
      </c>
      <c r="L1903" s="474">
        <f t="shared" si="243"/>
        <v>10</v>
      </c>
      <c r="M1903" s="471">
        <f t="shared" si="242"/>
        <v>64.099999999999994</v>
      </c>
      <c r="N1903" s="405"/>
      <c r="O1903" s="541"/>
      <c r="P1903" s="405"/>
      <c r="Q1903" s="405"/>
      <c r="S1903" s="344" t="str">
        <f t="shared" si="240"/>
        <v>CABO DE COBRE FLEXÍVEL ISOLADO, 10 MM², ANTI-CHAMA 0,6/1,0 KV, PARA DISTRIBUIÇÃO - FORNECIMENTO E INSTALAÇÃO. AF_12/2015</v>
      </c>
    </row>
    <row r="1904" spans="1:37" s="344" customFormat="1">
      <c r="A1904" s="49" t="s">
        <v>390</v>
      </c>
      <c r="B1904" s="49">
        <f>'[3]Plan Tron'!B135</f>
        <v>390201</v>
      </c>
      <c r="C1904" s="49" t="str">
        <f>'[3]Plan Tron'!C135</f>
        <v>CPOS</v>
      </c>
      <c r="D1904" s="612" t="str">
        <f>UPPER('[3]Plan Tron'!D135)</f>
        <v>CABO DE COBRE DE 1,5 MM², ISOLAMENTO 750 V - ISOLAÇÃO EM PVC 70°C  COR BRANCO</v>
      </c>
      <c r="E1904" s="49" t="str">
        <f>'[3]Plan Tron'!E135</f>
        <v>M</v>
      </c>
      <c r="F1904" s="36">
        <v>100</v>
      </c>
      <c r="G1904" s="9">
        <f>G735</f>
        <v>1.73</v>
      </c>
      <c r="H1904" s="9">
        <f>'[3]Plan Tron'!F135</f>
        <v>1.62</v>
      </c>
      <c r="I1904" s="9">
        <v>26.44</v>
      </c>
      <c r="J1904" s="9">
        <f t="shared" ref="J1904:J1913" si="245">ROUND(H1904*(I1904/100+1),2)</f>
        <v>2.0499999999999998</v>
      </c>
      <c r="K1904" s="383">
        <v>0</v>
      </c>
      <c r="L1904" s="474">
        <f t="shared" si="243"/>
        <v>100</v>
      </c>
      <c r="M1904" s="471">
        <f t="shared" si="242"/>
        <v>205</v>
      </c>
      <c r="N1904" s="405"/>
      <c r="O1904" s="541"/>
      <c r="P1904" s="405"/>
      <c r="Q1904" s="405"/>
      <c r="S1904" s="344" t="str">
        <f t="shared" si="240"/>
        <v>CABO DE COBRE DE 1,5 MM², ISOLAMENTO 750 V - ISOLAÇÃO EM PVC 70°C  COR BRANCO</v>
      </c>
    </row>
    <row r="1905" spans="1:19" s="344" customFormat="1">
      <c r="A1905" s="49" t="s">
        <v>387</v>
      </c>
      <c r="B1905" s="49">
        <f>'[3]Plan Tron'!B136</f>
        <v>390201</v>
      </c>
      <c r="C1905" s="49" t="str">
        <f>'[3]Plan Tron'!C136</f>
        <v>CPOS</v>
      </c>
      <c r="D1905" s="612" t="str">
        <f>UPPER('[3]Plan Tron'!D136)</f>
        <v>CABO DE COBRE DE 1,5 MM², ISOLAMENTO 750 V - ISOLAÇÃO EM PVC 70°C  COR AMARELO</v>
      </c>
      <c r="E1905" s="49" t="str">
        <f>'[3]Plan Tron'!E136</f>
        <v>M</v>
      </c>
      <c r="F1905" s="36">
        <v>100</v>
      </c>
      <c r="G1905" s="9">
        <f>G735</f>
        <v>1.73</v>
      </c>
      <c r="H1905" s="9">
        <f>'[3]Plan Tron'!F136</f>
        <v>1.62</v>
      </c>
      <c r="I1905" s="9">
        <v>26.44</v>
      </c>
      <c r="J1905" s="9">
        <f t="shared" si="245"/>
        <v>2.0499999999999998</v>
      </c>
      <c r="K1905" s="383">
        <v>0</v>
      </c>
      <c r="L1905" s="474">
        <f t="shared" si="243"/>
        <v>100</v>
      </c>
      <c r="M1905" s="471">
        <f t="shared" si="242"/>
        <v>205</v>
      </c>
      <c r="N1905" s="405"/>
      <c r="O1905" s="541"/>
      <c r="P1905" s="405"/>
      <c r="Q1905" s="405"/>
      <c r="S1905" s="344" t="str">
        <f t="shared" si="240"/>
        <v>CABO DE COBRE DE 1,5 MM², ISOLAMENTO 750 V - ISOLAÇÃO EM PVC 70°C  COR AMARELO</v>
      </c>
    </row>
    <row r="1906" spans="1:19" s="344" customFormat="1">
      <c r="A1906" s="49" t="s">
        <v>384</v>
      </c>
      <c r="B1906" s="49">
        <f>'[3]Plan Tron'!B137</f>
        <v>390201</v>
      </c>
      <c r="C1906" s="49" t="str">
        <f>'[3]Plan Tron'!C137</f>
        <v>CPOS</v>
      </c>
      <c r="D1906" s="612" t="str">
        <f>UPPER('[3]Plan Tron'!D137)</f>
        <v>CABO DE COBRE DE 1,5 MM², ISOLAMENTO 750 V - ISOLAÇÃO EM PVC 70°C  COR AZUL</v>
      </c>
      <c r="E1906" s="49" t="str">
        <f>'[3]Plan Tron'!E137</f>
        <v>M</v>
      </c>
      <c r="F1906" s="36">
        <v>100</v>
      </c>
      <c r="G1906" s="9">
        <f>G735</f>
        <v>1.73</v>
      </c>
      <c r="H1906" s="9">
        <f>'[3]Plan Tron'!F137</f>
        <v>1.62</v>
      </c>
      <c r="I1906" s="9">
        <v>26.44</v>
      </c>
      <c r="J1906" s="9">
        <f t="shared" si="245"/>
        <v>2.0499999999999998</v>
      </c>
      <c r="K1906" s="383">
        <v>0</v>
      </c>
      <c r="L1906" s="474">
        <f t="shared" si="243"/>
        <v>100</v>
      </c>
      <c r="M1906" s="471">
        <f t="shared" si="242"/>
        <v>205</v>
      </c>
      <c r="N1906" s="405"/>
      <c r="O1906" s="541"/>
      <c r="P1906" s="405"/>
      <c r="Q1906" s="405"/>
      <c r="S1906" s="344" t="str">
        <f t="shared" si="240"/>
        <v>CABO DE COBRE DE 1,5 MM², ISOLAMENTO 750 V - ISOLAÇÃO EM PVC 70°C  COR AZUL</v>
      </c>
    </row>
    <row r="1907" spans="1:19" s="344" customFormat="1">
      <c r="A1907" s="49" t="s">
        <v>381</v>
      </c>
      <c r="B1907" s="49">
        <f>'[3]Plan Tron'!B138</f>
        <v>390201</v>
      </c>
      <c r="C1907" s="49" t="str">
        <f>'[3]Plan Tron'!C138</f>
        <v>CPOS</v>
      </c>
      <c r="D1907" s="612" t="str">
        <f>UPPER('[3]Plan Tron'!D138)</f>
        <v>CABO DE COBRE DE 1,5 MM², ISOLAMENTO 750 V - ISOLAÇÃO EM PVC 70°C  COR VERDE</v>
      </c>
      <c r="E1907" s="49" t="str">
        <f>'[3]Plan Tron'!E138</f>
        <v>M</v>
      </c>
      <c r="F1907" s="36">
        <v>100</v>
      </c>
      <c r="G1907" s="9">
        <f>G735</f>
        <v>1.73</v>
      </c>
      <c r="H1907" s="9">
        <f>'[3]Plan Tron'!F138</f>
        <v>1.62</v>
      </c>
      <c r="I1907" s="9">
        <v>26.44</v>
      </c>
      <c r="J1907" s="9">
        <f t="shared" si="245"/>
        <v>2.0499999999999998</v>
      </c>
      <c r="K1907" s="383">
        <v>0</v>
      </c>
      <c r="L1907" s="474">
        <f t="shared" si="243"/>
        <v>100</v>
      </c>
      <c r="M1907" s="471">
        <f t="shared" si="242"/>
        <v>205</v>
      </c>
      <c r="N1907" s="405"/>
      <c r="O1907" s="541"/>
      <c r="P1907" s="405"/>
      <c r="Q1907" s="405"/>
      <c r="S1907" s="344" t="str">
        <f t="shared" si="240"/>
        <v>CABO DE COBRE DE 1,5 MM², ISOLAMENTO 750 V - ISOLAÇÃO EM PVC 70°C  COR VERDE</v>
      </c>
    </row>
    <row r="1908" spans="1:19" s="344" customFormat="1">
      <c r="A1908" s="49" t="s">
        <v>378</v>
      </c>
      <c r="B1908" s="49">
        <f>'[3]Plan Tron'!B132</f>
        <v>390216</v>
      </c>
      <c r="C1908" s="49" t="str">
        <f>'[3]Plan Tron'!C132</f>
        <v>CPOS</v>
      </c>
      <c r="D1908" s="614" t="str">
        <f>UPPER('[3]Plan Tron'!D132)</f>
        <v>CABO DE COBRE DE 2,5 MM², ISOLAMENTO 750 V - ISOLAÇÃO EM PVC 70°C COR AZUL</v>
      </c>
      <c r="E1908" s="49" t="str">
        <f>'[3]Plan Tron'!E132</f>
        <v>M</v>
      </c>
      <c r="F1908" s="36">
        <v>100</v>
      </c>
      <c r="G1908" s="9">
        <f>G732</f>
        <v>2.2799999999999998</v>
      </c>
      <c r="H1908" s="9">
        <f>'[3]Plan Tron'!F132</f>
        <v>2.25</v>
      </c>
      <c r="I1908" s="9">
        <v>26.44</v>
      </c>
      <c r="J1908" s="9">
        <f t="shared" si="245"/>
        <v>2.84</v>
      </c>
      <c r="K1908" s="383">
        <v>0</v>
      </c>
      <c r="L1908" s="474">
        <f t="shared" si="243"/>
        <v>100</v>
      </c>
      <c r="M1908" s="471">
        <f t="shared" si="242"/>
        <v>284</v>
      </c>
      <c r="N1908" s="405"/>
      <c r="O1908" s="541"/>
      <c r="P1908" s="405"/>
      <c r="Q1908" s="405"/>
      <c r="S1908" s="344" t="str">
        <f t="shared" si="240"/>
        <v>CABO DE COBRE DE 2,5 MM², ISOLAMENTO 750 V - ISOLAÇÃO EM PVC 70°C COR AZUL</v>
      </c>
    </row>
    <row r="1909" spans="1:19" s="344" customFormat="1">
      <c r="A1909" s="49" t="s">
        <v>777</v>
      </c>
      <c r="B1909" s="49">
        <f>'[3]Plan Tron'!B133</f>
        <v>390216</v>
      </c>
      <c r="C1909" s="49" t="str">
        <f>'[3]Plan Tron'!C133</f>
        <v>CPOS</v>
      </c>
      <c r="D1909" s="614" t="str">
        <f>UPPER('[3]Plan Tron'!D133)</f>
        <v>CABO DE COBRE DE 2,5 MM², ISOLAMENTO 750 V - ISOLAÇÃO EM PVC 70°C COR PRETO</v>
      </c>
      <c r="E1909" s="49" t="str">
        <f>'[3]Plan Tron'!E133</f>
        <v>M</v>
      </c>
      <c r="F1909" s="36">
        <v>100</v>
      </c>
      <c r="G1909" s="9">
        <f>G732</f>
        <v>2.2799999999999998</v>
      </c>
      <c r="H1909" s="9">
        <f>'[3]Plan Tron'!F133</f>
        <v>2.25</v>
      </c>
      <c r="I1909" s="9">
        <v>26.44</v>
      </c>
      <c r="J1909" s="9">
        <f t="shared" si="245"/>
        <v>2.84</v>
      </c>
      <c r="K1909" s="383">
        <v>0</v>
      </c>
      <c r="L1909" s="474">
        <f t="shared" si="243"/>
        <v>100</v>
      </c>
      <c r="M1909" s="471">
        <f t="shared" si="242"/>
        <v>284</v>
      </c>
      <c r="N1909" s="405"/>
      <c r="O1909" s="541"/>
      <c r="P1909" s="405"/>
      <c r="Q1909" s="405"/>
      <c r="S1909" s="344" t="str">
        <f t="shared" si="240"/>
        <v>CABO DE COBRE DE 2,5 MM², ISOLAMENTO 750 V - ISOLAÇÃO EM PVC 70°C COR PRETO</v>
      </c>
    </row>
    <row r="1910" spans="1:19" s="344" customFormat="1">
      <c r="A1910" s="49" t="s">
        <v>776</v>
      </c>
      <c r="B1910" s="49">
        <f>'[3]Plan Tron'!B134</f>
        <v>390216</v>
      </c>
      <c r="C1910" s="49" t="str">
        <f>'[3]Plan Tron'!C134</f>
        <v>CPOS</v>
      </c>
      <c r="D1910" s="614" t="str">
        <f>UPPER('[3]Plan Tron'!D134)</f>
        <v>CABO DE COBRE DE 2,5 MM², ISOLAMENTO 750 V - ISOLAÇÃO EM PVC 70°C COR VERDE</v>
      </c>
      <c r="E1910" s="49" t="str">
        <f>'[3]Plan Tron'!E134</f>
        <v>M</v>
      </c>
      <c r="F1910" s="36">
        <v>100</v>
      </c>
      <c r="G1910" s="9">
        <f>G732</f>
        <v>2.2799999999999998</v>
      </c>
      <c r="H1910" s="9">
        <f>'[3]Plan Tron'!F134</f>
        <v>2.25</v>
      </c>
      <c r="I1910" s="9">
        <v>26.44</v>
      </c>
      <c r="J1910" s="9">
        <f t="shared" si="245"/>
        <v>2.84</v>
      </c>
      <c r="K1910" s="383">
        <v>0</v>
      </c>
      <c r="L1910" s="474">
        <f t="shared" si="243"/>
        <v>100</v>
      </c>
      <c r="M1910" s="471">
        <f t="shared" si="242"/>
        <v>284</v>
      </c>
      <c r="N1910" s="405"/>
      <c r="O1910" s="541"/>
      <c r="P1910" s="405"/>
      <c r="Q1910" s="405"/>
      <c r="S1910" s="344" t="str">
        <f t="shared" si="240"/>
        <v>CABO DE COBRE DE 2,5 MM², ISOLAMENTO 750 V - ISOLAÇÃO EM PVC 70°C COR VERDE</v>
      </c>
    </row>
    <row r="1911" spans="1:19" s="414" customFormat="1">
      <c r="A1911" s="410" t="s">
        <v>17</v>
      </c>
      <c r="B1911" s="428"/>
      <c r="C1911" s="410"/>
      <c r="D1911" s="429" t="s">
        <v>2091</v>
      </c>
      <c r="E1911" s="421"/>
      <c r="F1911" s="623"/>
      <c r="G1911" s="412"/>
      <c r="H1911" s="412"/>
      <c r="I1911" s="412"/>
      <c r="J1911" s="9"/>
      <c r="K1911" s="498"/>
      <c r="L1911" s="474"/>
      <c r="M1911" s="471"/>
      <c r="N1911" s="419"/>
      <c r="O1911" s="541"/>
      <c r="P1911" s="419"/>
      <c r="Q1911" s="419"/>
      <c r="S1911" s="414" t="str">
        <f t="shared" si="240"/>
        <v>ELETRODUTOS E AFINS</v>
      </c>
    </row>
    <row r="1912" spans="1:19" s="344" customFormat="1">
      <c r="A1912" s="49" t="s">
        <v>195</v>
      </c>
      <c r="B1912" s="49" t="str">
        <f>'[3]Plan Tron'!B53</f>
        <v xml:space="preserve">380404 </v>
      </c>
      <c r="C1912" s="49" t="str">
        <f>'[3]Plan Tron'!C53</f>
        <v>CPOS</v>
      </c>
      <c r="D1912" s="612" t="str">
        <f>'[3]Plan Tron'!D53</f>
        <v xml:space="preserve">ELETRODUTO DE FERRO GALVANIZADO, MÉDIO DE 3/4' - COM ACESSÓRIOS </v>
      </c>
      <c r="E1912" s="49" t="str">
        <f>'[3]Plan Tron'!E53</f>
        <v>M</v>
      </c>
      <c r="F1912" s="36">
        <v>15</v>
      </c>
      <c r="G1912" s="9">
        <v>19.86</v>
      </c>
      <c r="H1912" s="9">
        <f>'[3]Plan Tron'!F53</f>
        <v>20.7</v>
      </c>
      <c r="I1912" s="9">
        <v>26.44</v>
      </c>
      <c r="J1912" s="9">
        <f t="shared" si="245"/>
        <v>26.17</v>
      </c>
      <c r="K1912" s="383">
        <v>0</v>
      </c>
      <c r="L1912" s="474">
        <f>F1912-K1912</f>
        <v>15</v>
      </c>
      <c r="M1912" s="471">
        <f t="shared" si="242"/>
        <v>392.55</v>
      </c>
      <c r="N1912" s="405"/>
      <c r="O1912" s="541"/>
      <c r="P1912" s="405"/>
      <c r="Q1912" s="405"/>
      <c r="S1912" s="344" t="str">
        <f t="shared" si="240"/>
        <v xml:space="preserve">ELETRODUTO DE FERRO GALVANIZADO, MÉDIO DE 3/4' - COM ACESSÓRIOS </v>
      </c>
    </row>
    <row r="1913" spans="1:19" s="344" customFormat="1">
      <c r="A1913" s="49" t="s">
        <v>192</v>
      </c>
      <c r="B1913" s="49" t="str">
        <f>'[3]Plan Tron'!B56</f>
        <v xml:space="preserve">380412 </v>
      </c>
      <c r="C1913" s="49" t="str">
        <f>'[3]Plan Tron'!C56</f>
        <v>CPOS</v>
      </c>
      <c r="D1913" s="612" t="str">
        <f>'[3]Plan Tron'!D56</f>
        <v xml:space="preserve">ELETRODUTO DE FERRO GALVANIZADO, MÉDIO DE 2' - COM ACESSÓRIOS </v>
      </c>
      <c r="E1913" s="49" t="str">
        <f>'[3]Plan Tron'!E56</f>
        <v>M</v>
      </c>
      <c r="F1913" s="36">
        <v>6</v>
      </c>
      <c r="G1913" s="9">
        <v>43.79</v>
      </c>
      <c r="H1913" s="9">
        <f>'[3]Plan Tron'!F56</f>
        <v>39.76</v>
      </c>
      <c r="I1913" s="9">
        <v>26.44</v>
      </c>
      <c r="J1913" s="9">
        <f t="shared" si="245"/>
        <v>50.27</v>
      </c>
      <c r="K1913" s="383">
        <v>0</v>
      </c>
      <c r="L1913" s="474">
        <f>F1913-K1913</f>
        <v>6</v>
      </c>
      <c r="M1913" s="471">
        <f t="shared" si="242"/>
        <v>301.62</v>
      </c>
      <c r="N1913" s="405"/>
      <c r="O1913" s="541"/>
      <c r="P1913" s="405"/>
      <c r="Q1913" s="405"/>
      <c r="S1913" s="344" t="str">
        <f t="shared" si="240"/>
        <v xml:space="preserve">ELETRODUTO DE FERRO GALVANIZADO, MÉDIO DE 2' - COM ACESSÓRIOS </v>
      </c>
    </row>
    <row r="1914" spans="1:19" s="344" customFormat="1">
      <c r="A1914" s="49" t="s">
        <v>280</v>
      </c>
      <c r="B1914" s="50" t="s">
        <v>1047</v>
      </c>
      <c r="C1914" s="49" t="s">
        <v>2015</v>
      </c>
      <c r="D1914" s="130" t="s">
        <v>2296</v>
      </c>
      <c r="E1914" s="18" t="s">
        <v>2337</v>
      </c>
      <c r="F1914" s="36">
        <v>3</v>
      </c>
      <c r="G1914" s="9">
        <v>9.82</v>
      </c>
      <c r="H1914" s="9">
        <f t="shared" ref="H1914:H1915" si="246">G1914*$P$7</f>
        <v>11.345046</v>
      </c>
      <c r="I1914" s="9">
        <v>26.44</v>
      </c>
      <c r="J1914" s="9">
        <f>ROUND(H1914*(I1914/100+1),2)</f>
        <v>14.34</v>
      </c>
      <c r="K1914" s="383">
        <v>0</v>
      </c>
      <c r="L1914" s="474">
        <f>F1914-K1914</f>
        <v>3</v>
      </c>
      <c r="M1914" s="471">
        <f t="shared" si="242"/>
        <v>43.02</v>
      </c>
      <c r="N1914" s="405"/>
      <c r="O1914" s="541"/>
      <c r="P1914" s="405"/>
      <c r="Q1914" s="405"/>
      <c r="S1914" s="344" t="str">
        <f t="shared" si="240"/>
        <v xml:space="preserve">CAIXA DE LIGAÇÃO ("CONDULETE"), TIPO "T",  Ø3/4", COM TAMPA CEGA. </v>
      </c>
    </row>
    <row r="1915" spans="1:19" s="344" customFormat="1">
      <c r="A1915" s="49" t="s">
        <v>277</v>
      </c>
      <c r="B1915" s="60" t="s">
        <v>1046</v>
      </c>
      <c r="C1915" s="49" t="s">
        <v>2015</v>
      </c>
      <c r="D1915" s="130" t="s">
        <v>2323</v>
      </c>
      <c r="E1915" s="18" t="s">
        <v>2337</v>
      </c>
      <c r="F1915" s="36">
        <v>1</v>
      </c>
      <c r="G1915" s="9">
        <v>9.01</v>
      </c>
      <c r="H1915" s="9">
        <f t="shared" si="246"/>
        <v>10.409253</v>
      </c>
      <c r="I1915" s="9">
        <v>26.44</v>
      </c>
      <c r="J1915" s="9">
        <f>ROUND(H1915*(I1915/100+1),2)</f>
        <v>13.16</v>
      </c>
      <c r="K1915" s="383">
        <v>0</v>
      </c>
      <c r="L1915" s="474">
        <f>F1915-K1915</f>
        <v>1</v>
      </c>
      <c r="M1915" s="471">
        <f t="shared" si="242"/>
        <v>13.16</v>
      </c>
      <c r="N1915" s="405"/>
      <c r="O1915" s="541"/>
      <c r="P1915" s="405"/>
      <c r="Q1915" s="405"/>
      <c r="S1915" s="344" t="str">
        <f t="shared" si="240"/>
        <v xml:space="preserve">CAIXA DE LIGAÇÃO ("CONDULETE"), TIPO "LL",  Ø3/4", COM TAMPA CEGA. </v>
      </c>
    </row>
    <row r="1916" spans="1:19" s="414" customFormat="1">
      <c r="A1916" s="410" t="s">
        <v>16</v>
      </c>
      <c r="B1916" s="428"/>
      <c r="C1916" s="410"/>
      <c r="D1916" s="429" t="s">
        <v>2215</v>
      </c>
      <c r="E1916" s="421"/>
      <c r="F1916" s="623"/>
      <c r="G1916" s="412"/>
      <c r="H1916" s="412"/>
      <c r="I1916" s="412"/>
      <c r="J1916" s="412"/>
      <c r="K1916" s="498"/>
      <c r="L1916" s="474"/>
      <c r="M1916" s="471"/>
      <c r="N1916" s="419"/>
      <c r="O1916" s="541"/>
      <c r="P1916" s="419"/>
      <c r="Q1916" s="419"/>
      <c r="S1916" s="414" t="str">
        <f t="shared" si="240"/>
        <v>ATERRAMENTO E SPDA</v>
      </c>
    </row>
    <row r="1917" spans="1:19" s="344" customFormat="1">
      <c r="A1917" s="49" t="s">
        <v>270</v>
      </c>
      <c r="B1917" s="49">
        <f>'[3]Plan Tron'!B63</f>
        <v>72254</v>
      </c>
      <c r="C1917" s="49" t="str">
        <f>'[3]Plan Tron'!C63</f>
        <v>SINAPI</v>
      </c>
      <c r="D1917" s="612" t="str">
        <f>'[3]Plan Tron'!D63</f>
        <v>CABO DE COBRE NU, SEÇÃO 50 MM², ENCORDOAMENTO CLASSE 2.</v>
      </c>
      <c r="E1917" s="49" t="str">
        <f>'[3]Plan Tron'!E63</f>
        <v>M</v>
      </c>
      <c r="F1917" s="27">
        <v>30</v>
      </c>
      <c r="G1917" s="9">
        <v>22.41</v>
      </c>
      <c r="H1917" s="9">
        <f>'[3]Plan Tron'!F63</f>
        <v>31.11</v>
      </c>
      <c r="I1917" s="9">
        <v>26.44</v>
      </c>
      <c r="J1917" s="9">
        <f>ROUND(H1917*(I1917/100+1),2)</f>
        <v>39.340000000000003</v>
      </c>
      <c r="K1917" s="383">
        <v>0</v>
      </c>
      <c r="L1917" s="474">
        <f>F1917-K1917</f>
        <v>30</v>
      </c>
      <c r="M1917" s="471">
        <f t="shared" si="242"/>
        <v>1180.2</v>
      </c>
      <c r="N1917" s="405"/>
      <c r="O1917" s="541"/>
      <c r="P1917" s="405"/>
      <c r="Q1917" s="405"/>
      <c r="S1917" s="344" t="str">
        <f t="shared" si="240"/>
        <v>CABO DE COBRE NU, SEÇÃO 50 MM², ENCORDOAMENTO CLASSE 2.</v>
      </c>
    </row>
    <row r="1918" spans="1:19" s="344" customFormat="1">
      <c r="A1918" s="49" t="s">
        <v>369</v>
      </c>
      <c r="B1918" s="49">
        <f>'[3]Plan Tron'!B148</f>
        <v>72315</v>
      </c>
      <c r="C1918" s="49" t="str">
        <f>'[3]Plan Tron'!C148</f>
        <v>SINAPI</v>
      </c>
      <c r="D1918" s="612" t="str">
        <f>'[3]Plan Tron'!D148</f>
        <v xml:space="preserve">TERMINAL AEREO EM ACO GALVANIZADO COM BASE DE FIXACAO H = 30CM </v>
      </c>
      <c r="E1918" s="49" t="str">
        <f>'[3]Plan Tron'!E148</f>
        <v>UN.</v>
      </c>
      <c r="F1918" s="27">
        <v>4</v>
      </c>
      <c r="G1918" s="9">
        <v>17.12</v>
      </c>
      <c r="H1918" s="9">
        <f>'[3]Plan Tron'!F148</f>
        <v>25.6</v>
      </c>
      <c r="I1918" s="9">
        <v>26.44</v>
      </c>
      <c r="J1918" s="9">
        <f t="shared" ref="J1918:J1920" si="247">ROUND(H1918*(I1918/100+1),2)</f>
        <v>32.369999999999997</v>
      </c>
      <c r="K1918" s="383">
        <v>0</v>
      </c>
      <c r="L1918" s="474">
        <f>F1918-K1918</f>
        <v>4</v>
      </c>
      <c r="M1918" s="471">
        <f t="shared" si="242"/>
        <v>129.47999999999999</v>
      </c>
      <c r="N1918" s="405"/>
      <c r="O1918" s="541"/>
      <c r="P1918" s="405"/>
      <c r="Q1918" s="405"/>
      <c r="S1918" s="344" t="str">
        <f t="shared" si="240"/>
        <v xml:space="preserve">TERMINAL AEREO EM ACO GALVANIZADO COM BASE DE FIXACAO H = 30CM </v>
      </c>
    </row>
    <row r="1919" spans="1:19" s="344" customFormat="1">
      <c r="A1919" s="49" t="s">
        <v>367</v>
      </c>
      <c r="B1919" s="49">
        <f>'[3]Plan Tron'!B60</f>
        <v>83484</v>
      </c>
      <c r="C1919" s="49" t="str">
        <f>'[3]Plan Tron'!C60</f>
        <v>SINAPI</v>
      </c>
      <c r="D1919" s="612" t="str">
        <f>'[3]Plan Tron'!D60</f>
        <v>HASTE DE ATERRAMENTO DE AÇO COBREADO Ø3/4"X3,0M.</v>
      </c>
      <c r="E1919" s="49" t="str">
        <f>'[3]Plan Tron'!E60</f>
        <v>PÇ.</v>
      </c>
      <c r="F1919" s="36">
        <v>4</v>
      </c>
      <c r="G1919" s="9">
        <v>47.99</v>
      </c>
      <c r="H1919" s="9">
        <f>'[3]Plan Tron'!F60</f>
        <v>61.62</v>
      </c>
      <c r="I1919" s="9">
        <v>26.44</v>
      </c>
      <c r="J1919" s="9">
        <f t="shared" si="247"/>
        <v>77.91</v>
      </c>
      <c r="K1919" s="383">
        <v>0</v>
      </c>
      <c r="L1919" s="474">
        <f>F1919-K1919</f>
        <v>4</v>
      </c>
      <c r="M1919" s="471">
        <f t="shared" si="242"/>
        <v>311.64</v>
      </c>
      <c r="N1919" s="405"/>
      <c r="O1919" s="541"/>
      <c r="P1919" s="405"/>
      <c r="Q1919" s="405"/>
      <c r="S1919" s="344" t="str">
        <f t="shared" si="240"/>
        <v>HASTE DE ATERRAMENTO DE AÇO COBREADO Ø3/4"X3,0M.</v>
      </c>
    </row>
    <row r="1920" spans="1:19" s="344" customFormat="1">
      <c r="A1920" s="49" t="s">
        <v>365</v>
      </c>
      <c r="B1920" s="49">
        <f>'[3]Plan Tron'!B149</f>
        <v>93009</v>
      </c>
      <c r="C1920" s="49" t="str">
        <f>'[3]Plan Tron'!C149</f>
        <v>SINAPI</v>
      </c>
      <c r="D1920" s="612" t="str">
        <f>'[3]Plan Tron'!D149</f>
        <v>ELETRODUTO RÍGIDO ROSCÁVEL, PVC, DN 60 MM (2") - FORNECIMENTO E INSTALAÇÃO. AF_12/2015</v>
      </c>
      <c r="E1920" s="49" t="str">
        <f>'[3]Plan Tron'!E149</f>
        <v>M</v>
      </c>
      <c r="F1920" s="21">
        <v>12</v>
      </c>
      <c r="G1920" s="9">
        <v>18.86</v>
      </c>
      <c r="H1920" s="9">
        <f>'[3]Plan Tron'!F149</f>
        <v>13.45</v>
      </c>
      <c r="I1920" s="9">
        <v>26.44</v>
      </c>
      <c r="J1920" s="9">
        <f t="shared" si="247"/>
        <v>17.010000000000002</v>
      </c>
      <c r="K1920" s="383">
        <v>0</v>
      </c>
      <c r="L1920" s="474">
        <f>F1920-K1920</f>
        <v>12</v>
      </c>
      <c r="M1920" s="471">
        <f t="shared" si="242"/>
        <v>204.12</v>
      </c>
      <c r="N1920" s="405"/>
      <c r="O1920" s="541"/>
      <c r="P1920" s="405"/>
      <c r="Q1920" s="405"/>
      <c r="S1920" s="344" t="str">
        <f t="shared" si="240"/>
        <v>ELETRODUTO RÍGIDO ROSCÁVEL, PVC, DN 60 MM (2") - FORNECIMENTO E INSTALAÇÃO. AF_12/2015</v>
      </c>
    </row>
    <row r="1921" spans="1:37">
      <c r="A1921" s="49"/>
      <c r="B1921" s="57"/>
      <c r="C1921" s="49"/>
      <c r="D1921" s="65"/>
      <c r="E1921" s="18"/>
      <c r="F1921" s="36"/>
      <c r="G1921" s="316"/>
      <c r="H1921" s="20"/>
      <c r="I1921" s="20"/>
      <c r="J1921" s="20"/>
      <c r="K1921" s="65"/>
      <c r="L1921" s="474"/>
      <c r="M1921" s="472"/>
      <c r="N1921" s="405"/>
      <c r="O1921" s="541"/>
      <c r="P1921" s="405"/>
      <c r="Q1921" s="405"/>
    </row>
    <row r="1922" spans="1:37" s="299" customFormat="1">
      <c r="A1922" s="297"/>
      <c r="B1922" s="298"/>
      <c r="C1922" s="298"/>
      <c r="D1922" s="341"/>
      <c r="E1922" s="297"/>
      <c r="F1922" s="298"/>
      <c r="G1922" s="301"/>
      <c r="H1922" s="338"/>
      <c r="I1922" s="298"/>
      <c r="J1922" s="298"/>
      <c r="K1922" s="341"/>
      <c r="L1922" s="474"/>
      <c r="M1922" s="471"/>
      <c r="N1922" s="405"/>
      <c r="O1922" s="541"/>
      <c r="P1922" s="405"/>
      <c r="Q1922" s="405"/>
      <c r="R1922" s="388"/>
      <c r="S1922" s="344" t="str">
        <f>UPPER(D1922)</f>
        <v/>
      </c>
      <c r="T1922" s="388"/>
      <c r="U1922" s="388"/>
      <c r="V1922" s="388"/>
      <c r="W1922" s="388"/>
      <c r="X1922" s="388"/>
      <c r="Y1922" s="388"/>
      <c r="Z1922" s="388"/>
      <c r="AA1922" s="388"/>
      <c r="AB1922" s="388"/>
      <c r="AC1922" s="388"/>
      <c r="AD1922" s="388"/>
      <c r="AE1922" s="388"/>
      <c r="AF1922" s="388"/>
      <c r="AG1922" s="388"/>
      <c r="AH1922" s="388"/>
      <c r="AI1922" s="388"/>
      <c r="AJ1922" s="388"/>
      <c r="AK1922" s="388"/>
    </row>
    <row r="1923" spans="1:37" s="415" customFormat="1">
      <c r="A1923" s="523"/>
      <c r="B1923" s="433"/>
      <c r="C1923" s="433"/>
      <c r="D1923" s="511" t="s">
        <v>2382</v>
      </c>
      <c r="E1923" s="523" t="s">
        <v>76</v>
      </c>
      <c r="F1923" s="433"/>
      <c r="G1923" s="524"/>
      <c r="H1923" s="418"/>
      <c r="I1923" s="433"/>
      <c r="J1923" s="433"/>
      <c r="K1923" s="511"/>
      <c r="L1923" s="476"/>
      <c r="M1923" s="505">
        <f>SUM(M1899:M1920)</f>
        <v>8749.52</v>
      </c>
      <c r="N1923" s="419"/>
      <c r="O1923" s="541"/>
      <c r="P1923" s="419"/>
      <c r="Q1923" s="419"/>
      <c r="R1923" s="414"/>
      <c r="S1923" s="414" t="str">
        <f>UPPER(D1923)</f>
        <v>TOTAL ITEM 33.2</v>
      </c>
      <c r="T1923" s="414"/>
      <c r="U1923" s="414"/>
      <c r="V1923" s="414"/>
      <c r="W1923" s="414"/>
      <c r="X1923" s="414"/>
      <c r="Y1923" s="414"/>
      <c r="Z1923" s="414"/>
      <c r="AA1923" s="414"/>
      <c r="AB1923" s="414"/>
      <c r="AC1923" s="414"/>
      <c r="AD1923" s="414"/>
      <c r="AE1923" s="414"/>
      <c r="AF1923" s="414"/>
      <c r="AG1923" s="414"/>
      <c r="AH1923" s="414"/>
      <c r="AI1923" s="414"/>
      <c r="AJ1923" s="414"/>
      <c r="AK1923" s="414"/>
    </row>
    <row r="1924" spans="1:37">
      <c r="A1924" s="296"/>
      <c r="B1924" s="44"/>
      <c r="C1924" s="44"/>
      <c r="D1924" s="438"/>
      <c r="E1924" s="296"/>
      <c r="F1924" s="44"/>
      <c r="G1924" s="302"/>
      <c r="H1924" s="339"/>
      <c r="I1924" s="44"/>
      <c r="J1924" s="44"/>
      <c r="K1924" s="383"/>
      <c r="L1924" s="474"/>
      <c r="M1924" s="471"/>
      <c r="N1924" s="405"/>
      <c r="O1924" s="541"/>
      <c r="P1924" s="405"/>
      <c r="Q1924" s="405"/>
    </row>
    <row r="1925" spans="1:37" s="450" customFormat="1">
      <c r="A1925" s="445">
        <v>35</v>
      </c>
      <c r="B1925" s="446"/>
      <c r="C1925" s="447"/>
      <c r="D1925" s="448" t="s">
        <v>1987</v>
      </c>
      <c r="E1925" s="453" t="s">
        <v>76</v>
      </c>
      <c r="F1925" s="446"/>
      <c r="G1925" s="446"/>
      <c r="H1925" s="446"/>
      <c r="I1925" s="446"/>
      <c r="J1925" s="446"/>
      <c r="K1925" s="473"/>
      <c r="L1925" s="478"/>
      <c r="M1925" s="479"/>
      <c r="N1925" s="454"/>
      <c r="O1925" s="541"/>
      <c r="P1925" s="454"/>
      <c r="Q1925" s="454"/>
      <c r="S1925" s="450" t="str">
        <f t="shared" ref="S1925:S1932" si="248">UPPER(D1925)</f>
        <v>REDE DE ESGOTO SANITÁRIO</v>
      </c>
    </row>
    <row r="1926" spans="1:37" s="344" customFormat="1">
      <c r="A1926" s="196">
        <v>1</v>
      </c>
      <c r="B1926" s="22"/>
      <c r="C1926" s="196"/>
      <c r="D1926" s="396" t="s">
        <v>2031</v>
      </c>
      <c r="E1926" s="18" t="s">
        <v>76</v>
      </c>
      <c r="F1926" s="352"/>
      <c r="G1926" s="22"/>
      <c r="H1926" s="22"/>
      <c r="I1926" s="22"/>
      <c r="J1926" s="22"/>
      <c r="K1926" s="383"/>
      <c r="L1926" s="474"/>
      <c r="M1926" s="471"/>
      <c r="N1926" s="405"/>
      <c r="O1926" s="541"/>
      <c r="P1926" s="405"/>
      <c r="Q1926" s="405"/>
      <c r="S1926" s="344" t="str">
        <f t="shared" si="248"/>
        <v>SERVIÇOS TÉCNICOS</v>
      </c>
    </row>
    <row r="1927" spans="1:37" s="414" customFormat="1">
      <c r="A1927" s="421" t="s">
        <v>20</v>
      </c>
      <c r="B1927" s="611"/>
      <c r="C1927" s="421"/>
      <c r="D1927" s="420" t="s">
        <v>2324</v>
      </c>
      <c r="E1927" s="421" t="s">
        <v>76</v>
      </c>
      <c r="F1927" s="621"/>
      <c r="G1927" s="611"/>
      <c r="H1927" s="611"/>
      <c r="I1927" s="611"/>
      <c r="J1927" s="611"/>
      <c r="K1927" s="498"/>
      <c r="L1927" s="474"/>
      <c r="M1927" s="471"/>
      <c r="N1927" s="419"/>
      <c r="O1927" s="541"/>
      <c r="P1927" s="419"/>
      <c r="Q1927" s="419"/>
      <c r="S1927" s="414" t="str">
        <f t="shared" si="248"/>
        <v>LOCAÇÃO DA OBRA</v>
      </c>
    </row>
    <row r="1928" spans="1:37" s="344" customFormat="1">
      <c r="A1928" s="18" t="s">
        <v>153</v>
      </c>
      <c r="B1928" s="22">
        <f>'[3]Plan Tron'!B178</f>
        <v>73610</v>
      </c>
      <c r="C1928" s="18" t="str">
        <f>'[3]Plan Tron'!C178</f>
        <v>SINAPI</v>
      </c>
      <c r="D1928" s="137" t="str">
        <f>'[3]Plan Tron'!D178</f>
        <v>LOCAÇÃO DE REDES DE ÁGUA OU DE ESGOTO</v>
      </c>
      <c r="E1928" s="22" t="str">
        <f>'[3]Plan Tron'!E178</f>
        <v>M</v>
      </c>
      <c r="F1928" s="352">
        <v>93.35</v>
      </c>
      <c r="G1928" s="22">
        <v>0.65</v>
      </c>
      <c r="H1928" s="22">
        <f>'[3]Plan Tron'!F178</f>
        <v>0.92</v>
      </c>
      <c r="I1928" s="22">
        <v>26.44</v>
      </c>
      <c r="J1928" s="22">
        <f>ROUND(H1928*(I1928/100+1),2)</f>
        <v>1.1599999999999999</v>
      </c>
      <c r="K1928" s="383">
        <v>0</v>
      </c>
      <c r="L1928" s="474">
        <f>F1928-K1928</f>
        <v>93.35</v>
      </c>
      <c r="M1928" s="471">
        <f t="shared" ref="M1928:M1966" si="249">ROUND(L1928*J1928,2)</f>
        <v>108.29</v>
      </c>
      <c r="N1928" s="405"/>
      <c r="O1928" s="541"/>
      <c r="P1928" s="405"/>
      <c r="Q1928" s="405"/>
      <c r="S1928" s="344" t="str">
        <f t="shared" si="248"/>
        <v>LOCAÇÃO DE REDES DE ÁGUA OU DE ESGOTO</v>
      </c>
    </row>
    <row r="1929" spans="1:37" s="414" customFormat="1">
      <c r="A1929" s="421" t="s">
        <v>19</v>
      </c>
      <c r="B1929" s="425"/>
      <c r="C1929" s="410"/>
      <c r="D1929" s="420" t="s">
        <v>2325</v>
      </c>
      <c r="E1929" s="421" t="s">
        <v>76</v>
      </c>
      <c r="F1929" s="621"/>
      <c r="G1929" s="611"/>
      <c r="H1929" s="611"/>
      <c r="I1929" s="611"/>
      <c r="J1929" s="611"/>
      <c r="K1929" s="498"/>
      <c r="L1929" s="474"/>
      <c r="M1929" s="471"/>
      <c r="N1929" s="419"/>
      <c r="O1929" s="541"/>
      <c r="P1929" s="419"/>
      <c r="Q1929" s="419"/>
      <c r="S1929" s="414" t="str">
        <f t="shared" si="248"/>
        <v>ACESSOS E PASSADIÇOS</v>
      </c>
    </row>
    <row r="1930" spans="1:37" s="414" customFormat="1">
      <c r="A1930" s="421" t="s">
        <v>147</v>
      </c>
      <c r="B1930" s="611"/>
      <c r="C1930" s="410"/>
      <c r="D1930" s="420" t="s">
        <v>2326</v>
      </c>
      <c r="E1930" s="421" t="s">
        <v>76</v>
      </c>
      <c r="F1930" s="621"/>
      <c r="G1930" s="611"/>
      <c r="H1930" s="611"/>
      <c r="I1930" s="611"/>
      <c r="J1930" s="611"/>
      <c r="K1930" s="498"/>
      <c r="L1930" s="474"/>
      <c r="M1930" s="471"/>
      <c r="N1930" s="419"/>
      <c r="O1930" s="541"/>
      <c r="P1930" s="419"/>
      <c r="Q1930" s="419"/>
      <c r="S1930" s="414" t="str">
        <f t="shared" si="248"/>
        <v>PASSADIÇOS E TRAVESSIAS - MONTAGEM, MANUTENÇÃO E REMOÇÃO.</v>
      </c>
    </row>
    <row r="1931" spans="1:37" s="344" customFormat="1">
      <c r="A1931" s="18" t="s">
        <v>146</v>
      </c>
      <c r="B1931" s="49" t="str">
        <f>'[3]Plan Tron'!B99</f>
        <v xml:space="preserve">74219/001 </v>
      </c>
      <c r="C1931" s="49" t="str">
        <f>'[3]Plan Tron'!C99</f>
        <v>SINAPI</v>
      </c>
      <c r="D1931" s="612" t="str">
        <f>'[3]Plan Tron'!D99</f>
        <v>PASSADICOS COM TABUAS DE MADEIRA PARA PEDESTRES</v>
      </c>
      <c r="E1931" s="49" t="str">
        <f>'[3]Plan Tron'!E99</f>
        <v>M²</v>
      </c>
      <c r="F1931" s="352">
        <v>10.27</v>
      </c>
      <c r="G1931" s="22">
        <v>38.39</v>
      </c>
      <c r="H1931" s="22">
        <f>'[3]Plan Tron'!F99</f>
        <v>51.52</v>
      </c>
      <c r="I1931" s="22">
        <v>26.44</v>
      </c>
      <c r="J1931" s="22">
        <f>ROUND(H1931*(I1931/100+1),2)</f>
        <v>65.14</v>
      </c>
      <c r="K1931" s="383">
        <v>0</v>
      </c>
      <c r="L1931" s="474">
        <f>F1931-K1931</f>
        <v>10.27</v>
      </c>
      <c r="M1931" s="471">
        <f t="shared" si="249"/>
        <v>668.99</v>
      </c>
      <c r="N1931" s="405"/>
      <c r="O1931" s="541"/>
      <c r="P1931" s="405"/>
      <c r="Q1931" s="405"/>
      <c r="S1931" s="344" t="str">
        <f t="shared" si="248"/>
        <v>PASSADICOS COM TABUAS DE MADEIRA PARA PEDESTRES</v>
      </c>
    </row>
    <row r="1932" spans="1:37" s="344" customFormat="1">
      <c r="A1932" s="18" t="s">
        <v>1197</v>
      </c>
      <c r="B1932" s="49" t="str">
        <f>'[3]Plan Tron'!B100</f>
        <v xml:space="preserve">74219/002 </v>
      </c>
      <c r="C1932" s="49" t="str">
        <f>'[3]Plan Tron'!C100</f>
        <v>SINAPI</v>
      </c>
      <c r="D1932" s="612" t="str">
        <f>'[3]Plan Tron'!D100</f>
        <v xml:space="preserve">PASSADICOS COM TABUAS DE MADEIRA PARA VEICULOS </v>
      </c>
      <c r="E1932" s="49" t="str">
        <f>'[3]Plan Tron'!E100</f>
        <v>M²</v>
      </c>
      <c r="F1932" s="352">
        <v>31.8</v>
      </c>
      <c r="G1932" s="22">
        <v>33.68</v>
      </c>
      <c r="H1932" s="22">
        <f>'[3]Plan Tron'!F100</f>
        <v>46.27</v>
      </c>
      <c r="I1932" s="22">
        <v>26.44</v>
      </c>
      <c r="J1932" s="22">
        <f>ROUND(H1932*(I1932/100+1),2)</f>
        <v>58.5</v>
      </c>
      <c r="K1932" s="383">
        <v>0</v>
      </c>
      <c r="L1932" s="474">
        <f>F1932-K1932</f>
        <v>31.8</v>
      </c>
      <c r="M1932" s="471">
        <f t="shared" si="249"/>
        <v>1860.3</v>
      </c>
      <c r="N1932" s="405"/>
      <c r="O1932" s="541"/>
      <c r="P1932" s="405"/>
      <c r="Q1932" s="405"/>
      <c r="S1932" s="344" t="str">
        <f t="shared" si="248"/>
        <v xml:space="preserve">PASSADICOS COM TABUAS DE MADEIRA PARA VEICULOS </v>
      </c>
    </row>
    <row r="1933" spans="1:37" s="344" customFormat="1">
      <c r="A1933" s="18"/>
      <c r="B1933" s="22"/>
      <c r="C1933" s="18"/>
      <c r="D1933" s="110"/>
      <c r="E1933" s="18"/>
      <c r="F1933" s="352"/>
      <c r="G1933" s="22"/>
      <c r="H1933" s="22"/>
      <c r="I1933" s="22"/>
      <c r="J1933" s="22"/>
      <c r="K1933" s="110"/>
      <c r="L1933" s="474"/>
      <c r="M1933" s="471"/>
      <c r="N1933" s="405"/>
      <c r="O1933" s="541"/>
      <c r="P1933" s="405"/>
      <c r="Q1933" s="405"/>
    </row>
    <row r="1934" spans="1:37" s="344" customFormat="1">
      <c r="A1934" s="18"/>
      <c r="B1934" s="22"/>
      <c r="C1934" s="18"/>
      <c r="D1934" s="35" t="s">
        <v>76</v>
      </c>
      <c r="E1934" s="18" t="s">
        <v>76</v>
      </c>
      <c r="F1934" s="352"/>
      <c r="G1934" s="22"/>
      <c r="H1934" s="22"/>
      <c r="I1934" s="22"/>
      <c r="J1934" s="22"/>
      <c r="K1934" s="383"/>
      <c r="L1934" s="474"/>
      <c r="M1934" s="471"/>
      <c r="N1934" s="405"/>
      <c r="O1934" s="541"/>
      <c r="P1934" s="405"/>
      <c r="Q1934" s="405"/>
      <c r="S1934" s="344" t="str">
        <f t="shared" ref="S1934:S1950" si="250">UPPER(D1934)</f>
        <v/>
      </c>
    </row>
    <row r="1935" spans="1:37" s="344" customFormat="1">
      <c r="A1935" s="196">
        <v>2</v>
      </c>
      <c r="B1935" s="22"/>
      <c r="C1935" s="196"/>
      <c r="D1935" s="396" t="s">
        <v>2038</v>
      </c>
      <c r="E1935" s="18" t="s">
        <v>76</v>
      </c>
      <c r="F1935" s="352"/>
      <c r="G1935" s="22"/>
      <c r="H1935" s="22"/>
      <c r="I1935" s="22"/>
      <c r="J1935" s="22"/>
      <c r="K1935" s="383"/>
      <c r="L1935" s="474"/>
      <c r="M1935" s="471"/>
      <c r="N1935" s="405"/>
      <c r="O1935" s="541"/>
      <c r="P1935" s="405"/>
      <c r="Q1935" s="405"/>
      <c r="S1935" s="344" t="str">
        <f t="shared" si="250"/>
        <v>MOVIMENTO DE TERRA</v>
      </c>
    </row>
    <row r="1936" spans="1:37" s="414" customFormat="1">
      <c r="A1936" s="410" t="s">
        <v>9</v>
      </c>
      <c r="B1936" s="411"/>
      <c r="C1936" s="410"/>
      <c r="D1936" s="613" t="s">
        <v>2041</v>
      </c>
      <c r="E1936" s="424" t="s">
        <v>76</v>
      </c>
      <c r="F1936" s="622"/>
      <c r="G1936" s="413"/>
      <c r="H1936" s="413"/>
      <c r="I1936" s="611"/>
      <c r="J1936" s="611"/>
      <c r="K1936" s="498"/>
      <c r="L1936" s="474"/>
      <c r="M1936" s="471"/>
      <c r="N1936" s="419"/>
      <c r="O1936" s="541"/>
      <c r="P1936" s="419"/>
      <c r="Q1936" s="419"/>
      <c r="S1936" s="414" t="str">
        <f t="shared" si="250"/>
        <v>ESCAVAÇÃO DE VALAS</v>
      </c>
    </row>
    <row r="1937" spans="1:19" s="414" customFormat="1">
      <c r="A1937" s="410" t="s">
        <v>348</v>
      </c>
      <c r="B1937" s="411"/>
      <c r="C1937" s="410"/>
      <c r="D1937" s="613" t="s">
        <v>2043</v>
      </c>
      <c r="E1937" s="424" t="s">
        <v>76</v>
      </c>
      <c r="F1937" s="622"/>
      <c r="G1937" s="413"/>
      <c r="H1937" s="413"/>
      <c r="I1937" s="611"/>
      <c r="J1937" s="611"/>
      <c r="K1937" s="498"/>
      <c r="L1937" s="474"/>
      <c r="M1937" s="471"/>
      <c r="N1937" s="419"/>
      <c r="O1937" s="541"/>
      <c r="P1937" s="419"/>
      <c r="Q1937" s="419"/>
      <c r="S1937" s="414" t="str">
        <f t="shared" si="250"/>
        <v>ESCAVAÇÃO MECÂNICA DE VALAS</v>
      </c>
    </row>
    <row r="1938" spans="1:19" s="344" customFormat="1" ht="25.5">
      <c r="A1938" s="49" t="s">
        <v>417</v>
      </c>
      <c r="B1938" s="49" t="str">
        <f>'[3]Plan Tron'!B6</f>
        <v xml:space="preserve">74151/001 </v>
      </c>
      <c r="C1938" s="49" t="str">
        <f>'[3]Plan Tron'!C6</f>
        <v>SINAPI</v>
      </c>
      <c r="D1938" s="614" t="str">
        <f>'[3]Plan Tron'!D6</f>
        <v>ESCAVACAO E CARGA MATERIAL 1A CATEGORIA, UTILIZANDO TRATOR DE ESTEIRAS DE 110 A 160HP COM LAMINA, PESO OPERACIONAL * 13T E PA CARREGADEIRA COM 170 HP.</v>
      </c>
      <c r="E1938" s="49" t="str">
        <f>'[3]Plan Tron'!E6</f>
        <v>M³</v>
      </c>
      <c r="F1938" s="191">
        <v>42.88</v>
      </c>
      <c r="G1938" s="10">
        <v>10.220000000000001</v>
      </c>
      <c r="H1938" s="10">
        <f>'[3]Plan Tron'!F6</f>
        <v>3.37</v>
      </c>
      <c r="I1938" s="22">
        <v>26.44</v>
      </c>
      <c r="J1938" s="22">
        <f>ROUND(H1938*(I1938/100+1),2)</f>
        <v>4.26</v>
      </c>
      <c r="K1938" s="383">
        <v>0</v>
      </c>
      <c r="L1938" s="474">
        <f>F1938-K1938</f>
        <v>42.88</v>
      </c>
      <c r="M1938" s="471">
        <f t="shared" si="249"/>
        <v>182.67</v>
      </c>
      <c r="N1938" s="405"/>
      <c r="O1938" s="541"/>
      <c r="P1938" s="405"/>
      <c r="Q1938" s="405"/>
      <c r="S1938" s="344" t="str">
        <f t="shared" si="250"/>
        <v>ESCAVACAO E CARGA MATERIAL 1A CATEGORIA, UTILIZANDO TRATOR DE ESTEIRAS DE 110 A 160HP COM LAMINA, PESO OPERACIONAL * 13T E PA CARREGADEIRA COM 170 HP.</v>
      </c>
    </row>
    <row r="1939" spans="1:19" s="414" customFormat="1">
      <c r="A1939" s="410" t="s">
        <v>8</v>
      </c>
      <c r="B1939" s="411"/>
      <c r="C1939" s="410"/>
      <c r="D1939" s="613" t="s">
        <v>2111</v>
      </c>
      <c r="E1939" s="424" t="s">
        <v>76</v>
      </c>
      <c r="F1939" s="622"/>
      <c r="G1939" s="413"/>
      <c r="H1939" s="413"/>
      <c r="I1939" s="611"/>
      <c r="J1939" s="611"/>
      <c r="K1939" s="498"/>
      <c r="L1939" s="474"/>
      <c r="M1939" s="471"/>
      <c r="N1939" s="419"/>
      <c r="O1939" s="541"/>
      <c r="P1939" s="419"/>
      <c r="Q1939" s="419"/>
      <c r="S1939" s="414" t="str">
        <f t="shared" si="250"/>
        <v>ATERRO / REATERRO DE VALAS COM OU S/ COMPACTAÇÃO.</v>
      </c>
    </row>
    <row r="1940" spans="1:19" s="414" customFormat="1">
      <c r="A1940" s="410" t="s">
        <v>317</v>
      </c>
      <c r="B1940" s="411"/>
      <c r="C1940" s="410"/>
      <c r="D1940" s="613" t="s">
        <v>2045</v>
      </c>
      <c r="E1940" s="424" t="s">
        <v>76</v>
      </c>
      <c r="F1940" s="622"/>
      <c r="G1940" s="413"/>
      <c r="H1940" s="413"/>
      <c r="I1940" s="611"/>
      <c r="J1940" s="611"/>
      <c r="K1940" s="498"/>
      <c r="L1940" s="474"/>
      <c r="M1940" s="471"/>
      <c r="N1940" s="419"/>
      <c r="O1940" s="541"/>
      <c r="P1940" s="419"/>
      <c r="Q1940" s="419"/>
      <c r="S1940" s="414" t="str">
        <f t="shared" si="250"/>
        <v>REATERRO DE VALAS</v>
      </c>
    </row>
    <row r="1941" spans="1:19" s="344" customFormat="1">
      <c r="A1941" s="49" t="s">
        <v>318</v>
      </c>
      <c r="B1941" s="49" t="str">
        <f>'[3]Plan Tron'!B12</f>
        <v xml:space="preserve">73964/006 </v>
      </c>
      <c r="C1941" s="49" t="str">
        <f>'[3]Plan Tron'!C12</f>
        <v>SINAPI</v>
      </c>
      <c r="D1941" s="612" t="str">
        <f>'[3]Plan Tron'!D12</f>
        <v xml:space="preserve">REATERRO DE VALA COM COMPACTAÇÃO MANUAL </v>
      </c>
      <c r="E1941" s="49" t="str">
        <f>'[3]Plan Tron'!E12</f>
        <v>M³</v>
      </c>
      <c r="F1941" s="191">
        <v>3.18</v>
      </c>
      <c r="G1941" s="10">
        <v>20.67</v>
      </c>
      <c r="H1941" s="10">
        <f>'[3]Plan Tron'!F12</f>
        <v>49.62</v>
      </c>
      <c r="I1941" s="22">
        <v>26.44</v>
      </c>
      <c r="J1941" s="22">
        <f>ROUND(H1941*(I1941/100+1),2)</f>
        <v>62.74</v>
      </c>
      <c r="K1941" s="383">
        <v>0</v>
      </c>
      <c r="L1941" s="474">
        <f>F1941-K1941</f>
        <v>3.18</v>
      </c>
      <c r="M1941" s="471">
        <f t="shared" si="249"/>
        <v>199.51</v>
      </c>
      <c r="N1941" s="405"/>
      <c r="O1941" s="541"/>
      <c r="P1941" s="405"/>
      <c r="Q1941" s="405"/>
      <c r="S1941" s="344" t="str">
        <f t="shared" si="250"/>
        <v xml:space="preserve">REATERRO DE VALA COM COMPACTAÇÃO MANUAL </v>
      </c>
    </row>
    <row r="1942" spans="1:19" s="344" customFormat="1" ht="38.25">
      <c r="A1942" s="49" t="s">
        <v>807</v>
      </c>
      <c r="B1942" s="49">
        <f>'[3]Plan Tron'!B101</f>
        <v>93379</v>
      </c>
      <c r="C1942" s="49" t="str">
        <f>'[3]Plan Tron'!C101</f>
        <v>SINAPI</v>
      </c>
      <c r="D1942" s="614" t="str">
        <f>'[3]Plan Tron'!D101</f>
        <v>REATERRO MECANIZADO DE VALA COM RETROESCAVADEIRA (CAPACIDADE DA CAÇAMBA DA RETRO: 0,26 M³ /POTÊNCIA: 88 HP), LARGURA DE 0,8 A 1,5 M, PROFUNDIDADE ATÉ 1,5 M, COM SOLO (SEM SUBSTITUIÇÃO) DE 1ª CATEGORIA EM LOCAIS COM BAIXO NÍVEL DE INTERFERÊNCIA. AF_04/2016</v>
      </c>
      <c r="E1942" s="49" t="str">
        <f>'[3]Plan Tron'!E101</f>
        <v>M³</v>
      </c>
      <c r="F1942" s="191">
        <v>7.43</v>
      </c>
      <c r="G1942" s="10">
        <v>7.8</v>
      </c>
      <c r="H1942" s="10">
        <f>'[3]Plan Tron'!F101</f>
        <v>13.36</v>
      </c>
      <c r="I1942" s="22">
        <v>26.44</v>
      </c>
      <c r="J1942" s="22">
        <f t="shared" ref="J1942:J1950" si="251">ROUND(H1942*(I1942/100+1),2)</f>
        <v>16.89</v>
      </c>
      <c r="K1942" s="383">
        <v>0</v>
      </c>
      <c r="L1942" s="474">
        <f>F1942-K1942</f>
        <v>7.43</v>
      </c>
      <c r="M1942" s="471">
        <f t="shared" si="249"/>
        <v>125.49</v>
      </c>
      <c r="N1942" s="405"/>
      <c r="O1942" s="541"/>
      <c r="P1942" s="405"/>
      <c r="Q1942" s="405"/>
      <c r="S1942" s="344" t="str">
        <f t="shared" si="250"/>
        <v>REATERRO MECANIZADO DE VALA COM RETROESCAVADEIRA (CAPACIDADE DA CAÇAMBA DA RETRO: 0,26 M³ /POTÊNCIA: 88 HP), LARGURA DE 0,8 A 1,5 M, PROFUNDIDADE ATÉ 1,5 M, COM SOLO (SEM SUBSTITUIÇÃO) DE 1ª CATEGORIA EM LOCAIS COM BAIXO NÍVEL DE INTERFERÊNCIA. AF_04/2016</v>
      </c>
    </row>
    <row r="1943" spans="1:19" s="414" customFormat="1">
      <c r="A1943" s="410" t="s">
        <v>7</v>
      </c>
      <c r="B1943" s="411"/>
      <c r="C1943" s="410"/>
      <c r="D1943" s="613" t="s">
        <v>2327</v>
      </c>
      <c r="E1943" s="424" t="s">
        <v>76</v>
      </c>
      <c r="F1943" s="622"/>
      <c r="G1943" s="413"/>
      <c r="H1943" s="413"/>
      <c r="I1943" s="611"/>
      <c r="J1943" s="22"/>
      <c r="K1943" s="498"/>
      <c r="L1943" s="474"/>
      <c r="M1943" s="471"/>
      <c r="N1943" s="419"/>
      <c r="O1943" s="541"/>
      <c r="P1943" s="419"/>
      <c r="Q1943" s="419"/>
      <c r="S1943" s="414" t="str">
        <f t="shared" si="250"/>
        <v>ENVOLTÓRIA DE AREIA</v>
      </c>
    </row>
    <row r="1944" spans="1:19" s="344" customFormat="1" ht="25.5">
      <c r="A1944" s="49" t="s">
        <v>314</v>
      </c>
      <c r="B1944" s="332">
        <f>'[3]Plan Tron'!B154</f>
        <v>370</v>
      </c>
      <c r="C1944" s="332" t="str">
        <f>'[3]Plan Tron'!C154</f>
        <v>SINAPI (INSUMO)</v>
      </c>
      <c r="D1944" s="614" t="str">
        <f>'[3]Plan Tron'!D154</f>
        <v xml:space="preserve">AREIA MEDIA - POSTO JAZIDA/FORNECEDOR (RETIRADO NA JAZIDA, SEM TRANSPORTE) </v>
      </c>
      <c r="E1944" s="332" t="str">
        <f>'[3]Plan Tron'!E154</f>
        <v>M³</v>
      </c>
      <c r="F1944" s="191">
        <v>33.64</v>
      </c>
      <c r="G1944" s="10">
        <v>28.8</v>
      </c>
      <c r="H1944" s="10">
        <f>'[3]Plan Tron'!F154</f>
        <v>62.75</v>
      </c>
      <c r="I1944" s="22">
        <v>26.44</v>
      </c>
      <c r="J1944" s="22">
        <f t="shared" si="251"/>
        <v>79.34</v>
      </c>
      <c r="K1944" s="383">
        <v>0</v>
      </c>
      <c r="L1944" s="474">
        <f>F1944-K1944</f>
        <v>33.64</v>
      </c>
      <c r="M1944" s="471">
        <f t="shared" si="249"/>
        <v>2669</v>
      </c>
      <c r="N1944" s="405"/>
      <c r="O1944" s="541"/>
      <c r="P1944" s="405"/>
      <c r="Q1944" s="405"/>
      <c r="S1944" s="344" t="str">
        <f t="shared" si="250"/>
        <v xml:space="preserve">AREIA MEDIA - POSTO JAZIDA/FORNECEDOR (RETIRADO NA JAZIDA, SEM TRANSPORTE) </v>
      </c>
    </row>
    <row r="1945" spans="1:19" s="344" customFormat="1" ht="25.5" hidden="1">
      <c r="A1945" s="49" t="s">
        <v>347</v>
      </c>
      <c r="B1945" s="332">
        <f>'[3]Plan Tron'!B155</f>
        <v>6111</v>
      </c>
      <c r="C1945" s="332" t="str">
        <f>'[3]Plan Tron'!C155</f>
        <v>SINAPI (INSUMO)</v>
      </c>
      <c r="D1945" s="614" t="str">
        <f>'[3]Plan Tron'!D155</f>
        <v xml:space="preserve">SERVENTE </v>
      </c>
      <c r="E1945" s="332" t="str">
        <f>'[3]Plan Tron'!E155</f>
        <v>H</v>
      </c>
      <c r="F1945" s="191">
        <v>0</v>
      </c>
      <c r="G1945" s="10">
        <v>9.84</v>
      </c>
      <c r="H1945" s="10">
        <f>'[3]Plan Tron'!F155</f>
        <v>12.02</v>
      </c>
      <c r="I1945" s="22">
        <v>26.44</v>
      </c>
      <c r="J1945" s="22">
        <f t="shared" si="251"/>
        <v>15.2</v>
      </c>
      <c r="K1945" s="383">
        <v>0</v>
      </c>
      <c r="L1945" s="474">
        <f>F1945-K1945</f>
        <v>0</v>
      </c>
      <c r="M1945" s="471">
        <f t="shared" si="249"/>
        <v>0</v>
      </c>
      <c r="N1945" s="405"/>
      <c r="O1945" s="541"/>
      <c r="P1945" s="405"/>
      <c r="Q1945" s="405"/>
      <c r="S1945" s="344" t="str">
        <f t="shared" si="250"/>
        <v xml:space="preserve">SERVENTE </v>
      </c>
    </row>
    <row r="1946" spans="1:19" s="414" customFormat="1">
      <c r="A1946" s="410" t="s">
        <v>6</v>
      </c>
      <c r="B1946" s="411"/>
      <c r="C1946" s="410"/>
      <c r="D1946" s="613" t="s">
        <v>2046</v>
      </c>
      <c r="E1946" s="424" t="s">
        <v>76</v>
      </c>
      <c r="F1946" s="622"/>
      <c r="G1946" s="413"/>
      <c r="H1946" s="413"/>
      <c r="I1946" s="611"/>
      <c r="J1946" s="22"/>
      <c r="K1946" s="498"/>
      <c r="L1946" s="474"/>
      <c r="M1946" s="471"/>
      <c r="N1946" s="419"/>
      <c r="O1946" s="541"/>
      <c r="P1946" s="419"/>
      <c r="Q1946" s="419"/>
      <c r="S1946" s="414" t="str">
        <f t="shared" si="250"/>
        <v>CARGA, DESCARGA E/OU TRANSPORTE DE MATERIAIS</v>
      </c>
    </row>
    <row r="1947" spans="1:19" s="344" customFormat="1">
      <c r="A1947" s="49" t="s">
        <v>311</v>
      </c>
      <c r="B1947" s="49">
        <f>'[3]Plan Tron'!B13</f>
        <v>72885</v>
      </c>
      <c r="C1947" s="49" t="str">
        <f>'[3]Plan Tron'!C13</f>
        <v>SINAPI</v>
      </c>
      <c r="D1947" s="612" t="str">
        <f>'[3]Plan Tron'!D13</f>
        <v>TRANSPORTE COMERCIAL COM CAMINHAO BASCULANTE 6 M3, RODOVIA EM LEITO NATURAL</v>
      </c>
      <c r="E1947" s="49" t="str">
        <f>'[3]Plan Tron'!E13</f>
        <v>M³ X KM</v>
      </c>
      <c r="F1947" s="191">
        <v>161.37</v>
      </c>
      <c r="G1947" s="10">
        <v>1.03</v>
      </c>
      <c r="H1947" s="10">
        <f>'[3]Plan Tron'!F13</f>
        <v>1.37</v>
      </c>
      <c r="I1947" s="22">
        <v>26.44</v>
      </c>
      <c r="J1947" s="22">
        <f t="shared" si="251"/>
        <v>1.73</v>
      </c>
      <c r="K1947" s="383">
        <v>0</v>
      </c>
      <c r="L1947" s="474">
        <f>F1947-K1947</f>
        <v>161.37</v>
      </c>
      <c r="M1947" s="471">
        <f t="shared" si="249"/>
        <v>279.17</v>
      </c>
      <c r="N1947" s="405"/>
      <c r="O1947" s="541"/>
      <c r="P1947" s="405"/>
      <c r="Q1947" s="405"/>
      <c r="S1947" s="344" t="str">
        <f t="shared" si="250"/>
        <v>TRANSPORTE COMERCIAL COM CAMINHAO BASCULANTE 6 M3, RODOVIA EM LEITO NATURAL</v>
      </c>
    </row>
    <row r="1948" spans="1:19" s="344" customFormat="1" ht="25.5">
      <c r="A1948" s="49" t="s">
        <v>710</v>
      </c>
      <c r="B1948" s="49">
        <f>'[3]Plan Tron'!B14</f>
        <v>72888</v>
      </c>
      <c r="C1948" s="49" t="str">
        <f>'[3]Plan Tron'!C14</f>
        <v>SINAPI</v>
      </c>
      <c r="D1948" s="614" t="str">
        <f>'[3]Plan Tron'!D14</f>
        <v>CARGA, MANOBRAS E DESCARGA DE AREIA, BRITA, PEDRA DE MAO E SOLOS COM CAMINHAO BASCULANTE 6 M3 (DESCARGA LIVRE)</v>
      </c>
      <c r="E1948" s="49" t="str">
        <f>'[3]Plan Tron'!E14</f>
        <v>M³</v>
      </c>
      <c r="F1948" s="191">
        <v>32.270000000000003</v>
      </c>
      <c r="G1948" s="10">
        <v>0.81</v>
      </c>
      <c r="H1948" s="10">
        <f>'[3]Plan Tron'!F14</f>
        <v>0.96</v>
      </c>
      <c r="I1948" s="22">
        <v>26.44</v>
      </c>
      <c r="J1948" s="22">
        <f t="shared" si="251"/>
        <v>1.21</v>
      </c>
      <c r="K1948" s="383">
        <v>0</v>
      </c>
      <c r="L1948" s="474">
        <f>F1948-K1948</f>
        <v>32.270000000000003</v>
      </c>
      <c r="M1948" s="471">
        <f t="shared" si="249"/>
        <v>39.049999999999997</v>
      </c>
      <c r="N1948" s="405"/>
      <c r="O1948" s="541"/>
      <c r="P1948" s="405"/>
      <c r="Q1948" s="405"/>
      <c r="S1948" s="344" t="str">
        <f t="shared" si="250"/>
        <v>CARGA, MANOBRAS E DESCARGA DE AREIA, BRITA, PEDRA DE MAO E SOLOS COM CAMINHAO BASCULANTE 6 M3 (DESCARGA LIVRE)</v>
      </c>
    </row>
    <row r="1949" spans="1:19" s="414" customFormat="1">
      <c r="A1949" s="410" t="s">
        <v>5</v>
      </c>
      <c r="B1949" s="411"/>
      <c r="C1949" s="410"/>
      <c r="D1949" s="613" t="s">
        <v>2100</v>
      </c>
      <c r="E1949" s="424" t="s">
        <v>76</v>
      </c>
      <c r="F1949" s="622"/>
      <c r="G1949" s="413"/>
      <c r="H1949" s="413"/>
      <c r="I1949" s="611"/>
      <c r="J1949" s="22"/>
      <c r="K1949" s="498"/>
      <c r="L1949" s="474"/>
      <c r="M1949" s="471"/>
      <c r="N1949" s="419"/>
      <c r="O1949" s="541"/>
      <c r="P1949" s="419"/>
      <c r="Q1949" s="419"/>
      <c r="S1949" s="414" t="str">
        <f t="shared" si="250"/>
        <v>COMPACTAÇÃO OU APILOAMENTO</v>
      </c>
    </row>
    <row r="1950" spans="1:19" s="344" customFormat="1" ht="25.5">
      <c r="A1950" s="49" t="s">
        <v>346</v>
      </c>
      <c r="B1950" s="49">
        <f>'[3]Plan Tron'!B89</f>
        <v>94098</v>
      </c>
      <c r="C1950" s="49" t="str">
        <f>'[3]Plan Tron'!C89</f>
        <v>SINAPI</v>
      </c>
      <c r="D1950" s="614" t="str">
        <f>'[3]Plan Tron'!D89</f>
        <v>PREPARO DE FUNDO DE VALA COM LARGURA MENOR QUE 1,5 M, EM LOCAL COM NÍVEL ALTO DE INTERFERÊNCIA. AF_06/2016</v>
      </c>
      <c r="E1950" s="49" t="str">
        <f>'[3]Plan Tron'!E89</f>
        <v>M²</v>
      </c>
      <c r="F1950" s="191">
        <v>247.38</v>
      </c>
      <c r="G1950" s="10">
        <v>3.24</v>
      </c>
      <c r="H1950" s="10">
        <f>'[3]Plan Tron'!F89</f>
        <v>5.53</v>
      </c>
      <c r="I1950" s="22">
        <v>26.44</v>
      </c>
      <c r="J1950" s="22">
        <f t="shared" si="251"/>
        <v>6.99</v>
      </c>
      <c r="K1950" s="383">
        <v>0</v>
      </c>
      <c r="L1950" s="474">
        <f>F1950-K1950</f>
        <v>247.38</v>
      </c>
      <c r="M1950" s="471">
        <f t="shared" si="249"/>
        <v>1729.19</v>
      </c>
      <c r="N1950" s="405"/>
      <c r="O1950" s="541"/>
      <c r="P1950" s="405"/>
      <c r="Q1950" s="405"/>
      <c r="S1950" s="344" t="str">
        <f t="shared" si="250"/>
        <v>PREPARO DE FUNDO DE VALA COM LARGURA MENOR QUE 1,5 M, EM LOCAL COM NÍVEL ALTO DE INTERFERÊNCIA. AF_06/2016</v>
      </c>
    </row>
    <row r="1951" spans="1:19" s="344" customFormat="1">
      <c r="A1951" s="49"/>
      <c r="B1951" s="17"/>
      <c r="C1951" s="49"/>
      <c r="D1951" s="451"/>
      <c r="E1951" s="7"/>
      <c r="F1951" s="192"/>
      <c r="G1951" s="21"/>
      <c r="H1951" s="21"/>
      <c r="I1951" s="22"/>
      <c r="J1951" s="22"/>
      <c r="K1951" s="451"/>
      <c r="L1951" s="474"/>
      <c r="M1951" s="471"/>
      <c r="N1951" s="405"/>
      <c r="O1951" s="541"/>
      <c r="P1951" s="405"/>
      <c r="Q1951" s="405"/>
    </row>
    <row r="1952" spans="1:19" s="344" customFormat="1">
      <c r="A1952" s="49"/>
      <c r="B1952" s="17"/>
      <c r="C1952" s="49"/>
      <c r="D1952" s="52" t="s">
        <v>76</v>
      </c>
      <c r="E1952" s="7"/>
      <c r="F1952" s="192"/>
      <c r="G1952" s="21"/>
      <c r="H1952" s="21"/>
      <c r="I1952" s="22"/>
      <c r="J1952" s="22"/>
      <c r="K1952" s="383"/>
      <c r="L1952" s="474"/>
      <c r="M1952" s="471"/>
      <c r="N1952" s="405"/>
      <c r="O1952" s="541"/>
      <c r="P1952" s="405"/>
      <c r="Q1952" s="405"/>
      <c r="S1952" s="344" t="str">
        <f>UPPER(D1952)</f>
        <v/>
      </c>
    </row>
    <row r="1953" spans="1:19" s="344" customFormat="1">
      <c r="A1953" s="45">
        <v>3</v>
      </c>
      <c r="B1953" s="25"/>
      <c r="C1953" s="45"/>
      <c r="D1953" s="397" t="s">
        <v>2047</v>
      </c>
      <c r="E1953" s="24"/>
      <c r="F1953" s="191"/>
      <c r="G1953" s="21"/>
      <c r="H1953" s="21"/>
      <c r="I1953" s="22"/>
      <c r="J1953" s="22"/>
      <c r="K1953" s="383"/>
      <c r="L1953" s="474"/>
      <c r="M1953" s="471"/>
      <c r="N1953" s="405"/>
      <c r="O1953" s="541"/>
      <c r="P1953" s="405"/>
      <c r="Q1953" s="405"/>
      <c r="S1953" s="344" t="str">
        <f>UPPER(D1953)</f>
        <v>DRENAGEM / POÇOS DE VISITA E CAIXAS</v>
      </c>
    </row>
    <row r="1954" spans="1:19" s="414" customFormat="1">
      <c r="A1954" s="410" t="s">
        <v>144</v>
      </c>
      <c r="B1954" s="432"/>
      <c r="C1954" s="410"/>
      <c r="D1954" s="613" t="s">
        <v>2328</v>
      </c>
      <c r="E1954" s="424"/>
      <c r="F1954" s="622"/>
      <c r="G1954" s="422"/>
      <c r="H1954" s="422"/>
      <c r="I1954" s="611"/>
      <c r="J1954" s="611"/>
      <c r="K1954" s="498"/>
      <c r="L1954" s="474"/>
      <c r="M1954" s="471"/>
      <c r="N1954" s="419"/>
      <c r="O1954" s="541"/>
      <c r="P1954" s="419"/>
      <c r="Q1954" s="419"/>
      <c r="S1954" s="414" t="str">
        <f>UPPER(D1954)</f>
        <v>CAIXA DE INSPEÇÃO OU PASSAGEM 60 X 120CM TAMPA DE CONCRETO.</v>
      </c>
    </row>
    <row r="1955" spans="1:19" s="344" customFormat="1" ht="38.25">
      <c r="A1955" s="49" t="s">
        <v>143</v>
      </c>
      <c r="B1955" s="49" t="str">
        <f>'[3]Plan Tron'!B179</f>
        <v xml:space="preserve">74104/001 </v>
      </c>
      <c r="C1955" s="49" t="str">
        <f>'[3]Plan Tron'!C179</f>
        <v>SINAPI</v>
      </c>
      <c r="D1955" s="614" t="str">
        <f>'[3]Plan Tron'!D179</f>
        <v>CAIXA DE INSPEÇÃO EM ALVENARIA DE TIJOLO MACIÇO 60X60X60CM, REVESTIDA INTERNAMENTO COM BARRA LISA (CIMENTO E AREIA, TRAÇO 1:4) E=2,0CM, COM TAMPA PRÉ-MOLDADA DE CONCRETO E FUNDO DE CONCRETO 15MPA TIPO C - ESCAVAÇÃO E CONFECÇÃO</v>
      </c>
      <c r="E1955" s="49" t="str">
        <f>'[3]Plan Tron'!E179</f>
        <v>UN.</v>
      </c>
      <c r="F1955" s="191">
        <v>9</v>
      </c>
      <c r="G1955" s="21">
        <v>112.75</v>
      </c>
      <c r="H1955" s="21">
        <f>'[3]Plan Tron'!F179</f>
        <v>138.68</v>
      </c>
      <c r="I1955" s="22">
        <v>26.44</v>
      </c>
      <c r="J1955" s="22">
        <f>ROUND(H1955*(I1955/100+1),2)</f>
        <v>175.35</v>
      </c>
      <c r="K1955" s="383">
        <v>0</v>
      </c>
      <c r="L1955" s="474">
        <f>F1955-K1955</f>
        <v>9</v>
      </c>
      <c r="M1955" s="471">
        <f t="shared" si="249"/>
        <v>1578.15</v>
      </c>
      <c r="N1955" s="405"/>
      <c r="O1955" s="541"/>
      <c r="P1955" s="405"/>
      <c r="Q1955" s="405"/>
      <c r="S1955" s="344" t="str">
        <f>UPPER(D1955)</f>
        <v>CAIXA DE INSPEÇÃO EM ALVENARIA DE TIJOLO MACIÇO 60X60X60CM, REVESTIDA INTERNAMENTO COM BARRA LISA (CIMENTO E AREIA, TRAÇO 1:4) E=2,0CM, COM TAMPA PRÉ-MOLDADA DE CONCRETO E FUNDO DE CONCRETO 15MPA TIPO C - ESCAVAÇÃO E CONFECÇÃO</v>
      </c>
    </row>
    <row r="1956" spans="1:19" s="344" customFormat="1">
      <c r="A1956" s="49"/>
      <c r="B1956" s="17"/>
      <c r="C1956" s="49"/>
      <c r="D1956" s="451"/>
      <c r="E1956" s="7"/>
      <c r="F1956" s="192"/>
      <c r="G1956" s="21"/>
      <c r="H1956" s="21"/>
      <c r="I1956" s="22"/>
      <c r="J1956" s="22"/>
      <c r="K1956" s="451"/>
      <c r="L1956" s="474"/>
      <c r="M1956" s="471"/>
      <c r="N1956" s="405"/>
      <c r="O1956" s="541"/>
      <c r="P1956" s="405"/>
      <c r="Q1956" s="405"/>
    </row>
    <row r="1957" spans="1:19" s="344" customFormat="1">
      <c r="A1957" s="49"/>
      <c r="B1957" s="17"/>
      <c r="C1957" s="49"/>
      <c r="D1957" s="52" t="s">
        <v>76</v>
      </c>
      <c r="E1957" s="7"/>
      <c r="F1957" s="192"/>
      <c r="G1957" s="21"/>
      <c r="H1957" s="21"/>
      <c r="I1957" s="22"/>
      <c r="J1957" s="22"/>
      <c r="K1957" s="383"/>
      <c r="L1957" s="474"/>
      <c r="M1957" s="471"/>
      <c r="N1957" s="405"/>
      <c r="O1957" s="541"/>
      <c r="P1957" s="405"/>
      <c r="Q1957" s="405"/>
      <c r="S1957" s="344" t="str">
        <f t="shared" ref="S1957:S1962" si="252">UPPER(D1957)</f>
        <v/>
      </c>
    </row>
    <row r="1958" spans="1:19" s="344" customFormat="1">
      <c r="A1958" s="196">
        <v>4</v>
      </c>
      <c r="B1958" s="22"/>
      <c r="C1958" s="196"/>
      <c r="D1958" s="396" t="s">
        <v>2122</v>
      </c>
      <c r="E1958" s="18"/>
      <c r="F1958" s="352"/>
      <c r="G1958" s="22"/>
      <c r="H1958" s="22"/>
      <c r="I1958" s="22"/>
      <c r="J1958" s="22"/>
      <c r="K1958" s="383"/>
      <c r="L1958" s="474"/>
      <c r="M1958" s="471"/>
      <c r="N1958" s="405"/>
      <c r="O1958" s="541"/>
      <c r="P1958" s="405"/>
      <c r="Q1958" s="405"/>
      <c r="S1958" s="344" t="str">
        <f t="shared" si="252"/>
        <v>ASSENTAMENTO DE TUBOS E PEÇAS</v>
      </c>
    </row>
    <row r="1959" spans="1:19" s="414" customFormat="1">
      <c r="A1959" s="410" t="s">
        <v>139</v>
      </c>
      <c r="B1959" s="411"/>
      <c r="C1959" s="410"/>
      <c r="D1959" s="613" t="s">
        <v>2276</v>
      </c>
      <c r="E1959" s="424"/>
      <c r="F1959" s="622"/>
      <c r="G1959" s="422"/>
      <c r="H1959" s="422"/>
      <c r="I1959" s="611"/>
      <c r="J1959" s="611"/>
      <c r="K1959" s="498"/>
      <c r="L1959" s="474"/>
      <c r="M1959" s="471"/>
      <c r="N1959" s="419"/>
      <c r="O1959" s="541"/>
      <c r="P1959" s="419"/>
      <c r="Q1959" s="419"/>
      <c r="S1959" s="414" t="str">
        <f t="shared" si="252"/>
        <v>FORNECIMENTO  E/ OU  ASSENTAMENTO DE TUBO DE PVC  COM JUNTA ELÁSTICA.</v>
      </c>
    </row>
    <row r="1960" spans="1:19" s="414" customFormat="1">
      <c r="A1960" s="410" t="s">
        <v>138</v>
      </c>
      <c r="B1960" s="411"/>
      <c r="C1960" s="410"/>
      <c r="D1960" s="613" t="s">
        <v>2277</v>
      </c>
      <c r="E1960" s="424"/>
      <c r="F1960" s="622"/>
      <c r="G1960" s="422"/>
      <c r="H1960" s="422"/>
      <c r="I1960" s="611"/>
      <c r="J1960" s="611"/>
      <c r="K1960" s="498"/>
      <c r="L1960" s="474"/>
      <c r="M1960" s="471"/>
      <c r="N1960" s="419"/>
      <c r="O1960" s="541"/>
      <c r="P1960" s="419"/>
      <c r="Q1960" s="419"/>
      <c r="S1960" s="414" t="str">
        <f t="shared" si="252"/>
        <v>ASSENTAMENTO TUBO PVC, RPVC, PVC DEFOFO, PRFV, PARA ESGOTO COM JE.</v>
      </c>
    </row>
    <row r="1961" spans="1:19" s="344" customFormat="1">
      <c r="A1961" s="49" t="s">
        <v>137</v>
      </c>
      <c r="B1961" s="49" t="str">
        <f>'[3]Plan Tron'!B82</f>
        <v xml:space="preserve">73888/003 </v>
      </c>
      <c r="C1961" s="49" t="str">
        <f>'[3]Plan Tron'!C82</f>
        <v>SINAPI</v>
      </c>
      <c r="D1961" s="612" t="str">
        <f>'[3]Plan Tron'!D82</f>
        <v>ASSENTAMENTO TUBO PVC COM JUNTA ELASTICA, DN 100 MM - (OU RPVC, OU PVC DEFOFO, OU PRFV) - PARA AGUA.</v>
      </c>
      <c r="E1961" s="49" t="str">
        <f>'[3]Plan Tron'!E82</f>
        <v>M</v>
      </c>
      <c r="F1961" s="191">
        <v>68.430000000000007</v>
      </c>
      <c r="G1961" s="21">
        <v>2.58</v>
      </c>
      <c r="H1961" s="21">
        <f>'[3]Plan Tron'!F82</f>
        <v>2.92</v>
      </c>
      <c r="I1961" s="22">
        <v>26.44</v>
      </c>
      <c r="J1961" s="22">
        <f>ROUND(H1961*(I1961/100+1),2)</f>
        <v>3.69</v>
      </c>
      <c r="K1961" s="383">
        <v>0</v>
      </c>
      <c r="L1961" s="474">
        <f>F1961-K1961</f>
        <v>68.430000000000007</v>
      </c>
      <c r="M1961" s="471">
        <f t="shared" si="249"/>
        <v>252.51</v>
      </c>
      <c r="N1961" s="405"/>
      <c r="O1961" s="541"/>
      <c r="P1961" s="405"/>
      <c r="Q1961" s="405"/>
      <c r="S1961" s="344" t="str">
        <f t="shared" si="252"/>
        <v>ASSENTAMENTO TUBO PVC COM JUNTA ELASTICA, DN 100 MM - (OU RPVC, OU PVC DEFOFO, OU PRFV) - PARA AGUA.</v>
      </c>
    </row>
    <row r="1962" spans="1:19" s="344" customFormat="1">
      <c r="A1962" s="49" t="s">
        <v>1846</v>
      </c>
      <c r="B1962" s="49" t="str">
        <f>'[3]Plan Tron'!B83</f>
        <v xml:space="preserve">73888/009 </v>
      </c>
      <c r="C1962" s="49" t="str">
        <f>'[3]Plan Tron'!C83</f>
        <v>SINAPI</v>
      </c>
      <c r="D1962" s="612" t="str">
        <f>'[3]Plan Tron'!D83</f>
        <v>ASSENTAMENTO TUBO PVC COM JUNTA ELASTICA, DN 400 MM - (OU RPVC, OU PVC DEFOFO, OU PRFV) - PARA AGUA.</v>
      </c>
      <c r="E1962" s="49" t="str">
        <f>'[3]Plan Tron'!E83</f>
        <v>M</v>
      </c>
      <c r="F1962" s="191">
        <v>24.92</v>
      </c>
      <c r="G1962" s="21">
        <v>2.95</v>
      </c>
      <c r="H1962" s="21">
        <f>'[3]Plan Tron'!F83</f>
        <v>8.3000000000000007</v>
      </c>
      <c r="I1962" s="22">
        <v>26.44</v>
      </c>
      <c r="J1962" s="22">
        <f>ROUND(H1962*(I1962/100+1),2)</f>
        <v>10.49</v>
      </c>
      <c r="K1962" s="383">
        <v>0</v>
      </c>
      <c r="L1962" s="474">
        <f>F1962-K1962</f>
        <v>24.92</v>
      </c>
      <c r="M1962" s="471">
        <f t="shared" si="249"/>
        <v>261.41000000000003</v>
      </c>
      <c r="N1962" s="405"/>
      <c r="O1962" s="541"/>
      <c r="P1962" s="405"/>
      <c r="Q1962" s="405"/>
      <c r="S1962" s="344" t="str">
        <f t="shared" si="252"/>
        <v>ASSENTAMENTO TUBO PVC COM JUNTA ELASTICA, DN 400 MM - (OU RPVC, OU PVC DEFOFO, OU PRFV) - PARA AGUA.</v>
      </c>
    </row>
    <row r="1963" spans="1:19">
      <c r="A1963" s="189"/>
      <c r="B1963" s="187"/>
      <c r="C1963" s="189"/>
      <c r="D1963" s="467"/>
      <c r="E1963" s="189"/>
      <c r="F1963" s="188"/>
      <c r="G1963" s="304"/>
      <c r="H1963" s="22"/>
      <c r="I1963" s="187"/>
      <c r="J1963" s="187"/>
      <c r="K1963" s="467"/>
      <c r="L1963" s="474"/>
      <c r="M1963" s="471"/>
      <c r="N1963" s="405"/>
      <c r="O1963" s="541"/>
      <c r="P1963" s="405"/>
      <c r="Q1963" s="405"/>
    </row>
    <row r="1964" spans="1:19">
      <c r="A1964" s="189"/>
      <c r="B1964" s="187"/>
      <c r="C1964" s="189"/>
      <c r="D1964" s="193" t="s">
        <v>76</v>
      </c>
      <c r="E1964" s="189"/>
      <c r="F1964" s="188"/>
      <c r="G1964" s="304"/>
      <c r="H1964" s="22"/>
      <c r="I1964" s="187"/>
      <c r="J1964" s="187"/>
      <c r="K1964" s="383"/>
      <c r="L1964" s="474"/>
      <c r="M1964" s="471"/>
      <c r="N1964" s="405"/>
      <c r="O1964" s="541"/>
      <c r="P1964" s="405"/>
      <c r="Q1964" s="405"/>
      <c r="S1964" s="344" t="str">
        <f>UPPER(D1964)</f>
        <v/>
      </c>
    </row>
    <row r="1965" spans="1:19">
      <c r="A1965" s="186">
        <v>5</v>
      </c>
      <c r="B1965" s="187"/>
      <c r="C1965" s="186"/>
      <c r="D1965" s="193" t="s">
        <v>2109</v>
      </c>
      <c r="E1965" s="189"/>
      <c r="F1965" s="188"/>
      <c r="G1965" s="304"/>
      <c r="H1965" s="22"/>
      <c r="I1965" s="187"/>
      <c r="J1965" s="187"/>
      <c r="K1965" s="383"/>
      <c r="L1965" s="474"/>
      <c r="M1965" s="471"/>
      <c r="N1965" s="405"/>
      <c r="O1965" s="541"/>
      <c r="P1965" s="405"/>
      <c r="Q1965" s="405"/>
      <c r="S1965" s="344" t="str">
        <f>UPPER(D1965)</f>
        <v>MONTAGEM DE MATERIAIS E EQUIPAMENTOS HIDRÁULICOS, HIDROMECÂNICOS E DIVERSOS</v>
      </c>
    </row>
    <row r="1966" spans="1:19" s="344" customFormat="1">
      <c r="A1966" s="18" t="s">
        <v>136</v>
      </c>
      <c r="B1966" s="87" t="s">
        <v>1845</v>
      </c>
      <c r="C1966" s="18"/>
      <c r="D1966" s="35" t="s">
        <v>2329</v>
      </c>
      <c r="E1966" s="18" t="s">
        <v>2344</v>
      </c>
      <c r="F1966" s="352">
        <f>1</f>
        <v>1</v>
      </c>
      <c r="G1966" s="20">
        <v>2503.2200000000003</v>
      </c>
      <c r="H1966" s="9">
        <f t="shared" ref="H1966" si="253">G1966*$P$7</f>
        <v>2891.9700660000003</v>
      </c>
      <c r="I1966" s="22">
        <v>26.44</v>
      </c>
      <c r="J1966" s="22">
        <f>ROUND(H1966*(I1966/100+1),2)</f>
        <v>3656.61</v>
      </c>
      <c r="K1966" s="383">
        <v>0</v>
      </c>
      <c r="L1966" s="474">
        <f>F1966-K1966</f>
        <v>1</v>
      </c>
      <c r="M1966" s="471">
        <f t="shared" si="249"/>
        <v>3656.61</v>
      </c>
      <c r="N1966" s="405"/>
      <c r="O1966" s="541"/>
      <c r="P1966" s="405"/>
      <c r="Q1966" s="405"/>
      <c r="S1966" s="344" t="str">
        <f>UPPER(D1966)</f>
        <v>MONTAGEM HIDRÁULICA E HIDROMECÂNICA DOS EQUIPAMENTOS OS SISTEMA DE TRATAMENTO DE EFLUENTES.</v>
      </c>
    </row>
    <row r="1967" spans="1:19">
      <c r="A1967" s="85"/>
      <c r="B1967" s="187"/>
      <c r="C1967" s="86"/>
      <c r="D1967" s="467"/>
      <c r="E1967" s="189"/>
      <c r="F1967" s="188"/>
      <c r="G1967" s="316"/>
      <c r="H1967" s="20"/>
      <c r="I1967" s="80"/>
      <c r="J1967" s="80"/>
      <c r="K1967" s="467"/>
      <c r="L1967" s="474"/>
      <c r="M1967" s="472"/>
      <c r="N1967" s="405"/>
      <c r="O1967" s="541"/>
      <c r="P1967" s="405"/>
      <c r="Q1967" s="405"/>
    </row>
    <row r="1968" spans="1:19">
      <c r="A1968" s="296"/>
      <c r="B1968" s="44"/>
      <c r="C1968" s="44"/>
      <c r="D1968" s="383"/>
      <c r="E1968" s="297"/>
      <c r="F1968" s="44"/>
      <c r="G1968" s="302"/>
      <c r="H1968" s="339"/>
      <c r="I1968" s="44"/>
      <c r="J1968" s="44"/>
      <c r="K1968" s="383"/>
      <c r="L1968" s="474"/>
      <c r="M1968" s="471"/>
      <c r="N1968" s="405"/>
      <c r="O1968" s="541"/>
      <c r="P1968" s="405"/>
      <c r="Q1968" s="405"/>
      <c r="S1968" s="344" t="str">
        <f>UPPER(D1968)</f>
        <v/>
      </c>
    </row>
    <row r="1969" spans="1:37" s="415" customFormat="1">
      <c r="A1969" s="523"/>
      <c r="B1969" s="433"/>
      <c r="C1969" s="433"/>
      <c r="D1969" s="511" t="s">
        <v>2383</v>
      </c>
      <c r="E1969" s="523" t="s">
        <v>76</v>
      </c>
      <c r="F1969" s="433"/>
      <c r="G1969" s="524"/>
      <c r="H1969" s="418"/>
      <c r="I1969" s="433"/>
      <c r="J1969" s="433"/>
      <c r="K1969" s="511"/>
      <c r="L1969" s="476"/>
      <c r="M1969" s="505">
        <f>SUM(M1928:M1966)</f>
        <v>13610.34</v>
      </c>
      <c r="N1969" s="419"/>
      <c r="O1969" s="541"/>
      <c r="P1969" s="419"/>
      <c r="Q1969" s="419"/>
      <c r="R1969" s="414"/>
      <c r="S1969" s="414" t="str">
        <f>UPPER(D1969)</f>
        <v>TOTAL ITEM 35</v>
      </c>
      <c r="T1969" s="414"/>
      <c r="U1969" s="414"/>
      <c r="V1969" s="414"/>
      <c r="W1969" s="414"/>
      <c r="X1969" s="414"/>
      <c r="Y1969" s="414"/>
      <c r="Z1969" s="414"/>
      <c r="AA1969" s="414"/>
      <c r="AB1969" s="414"/>
      <c r="AC1969" s="414"/>
      <c r="AD1969" s="414"/>
      <c r="AE1969" s="414"/>
      <c r="AF1969" s="414"/>
      <c r="AG1969" s="414"/>
      <c r="AH1969" s="414"/>
      <c r="AI1969" s="414"/>
      <c r="AJ1969" s="414"/>
      <c r="AK1969" s="414"/>
    </row>
    <row r="1970" spans="1:37">
      <c r="A1970" s="296"/>
      <c r="B1970" s="44"/>
      <c r="C1970" s="44"/>
      <c r="D1970" s="442"/>
      <c r="E1970" s="296"/>
      <c r="F1970" s="44"/>
      <c r="G1970" s="302"/>
      <c r="H1970" s="339"/>
      <c r="I1970" s="44"/>
      <c r="J1970" s="44"/>
      <c r="K1970" s="383"/>
      <c r="L1970" s="474"/>
      <c r="M1970" s="471"/>
      <c r="N1970" s="405"/>
      <c r="O1970" s="541"/>
      <c r="P1970" s="405"/>
      <c r="Q1970" s="405"/>
    </row>
    <row r="1971" spans="1:37" s="450" customFormat="1">
      <c r="A1971" s="445">
        <v>37</v>
      </c>
      <c r="B1971" s="446"/>
      <c r="C1971" s="447"/>
      <c r="D1971" s="448" t="s">
        <v>1988</v>
      </c>
      <c r="E1971" s="453" t="s">
        <v>76</v>
      </c>
      <c r="F1971" s="446"/>
      <c r="G1971" s="446"/>
      <c r="H1971" s="446"/>
      <c r="I1971" s="446"/>
      <c r="J1971" s="446"/>
      <c r="K1971" s="473"/>
      <c r="L1971" s="478"/>
      <c r="M1971" s="479"/>
      <c r="N1971" s="454"/>
      <c r="O1971" s="541"/>
      <c r="P1971" s="454"/>
      <c r="Q1971" s="454"/>
      <c r="S1971" s="450" t="str">
        <f t="shared" ref="S1971:S1978" si="254">UPPER(D1971)</f>
        <v>REDE DE DISTRIBUIÇÃO DE ÁGUA POTÁVEL</v>
      </c>
    </row>
    <row r="1972" spans="1:37" s="344" customFormat="1">
      <c r="A1972" s="196">
        <v>1</v>
      </c>
      <c r="B1972" s="22"/>
      <c r="C1972" s="196"/>
      <c r="D1972" s="396" t="s">
        <v>2031</v>
      </c>
      <c r="E1972" s="18" t="s">
        <v>76</v>
      </c>
      <c r="F1972" s="22"/>
      <c r="G1972" s="22"/>
      <c r="H1972" s="22"/>
      <c r="I1972" s="22"/>
      <c r="J1972" s="22"/>
      <c r="K1972" s="383"/>
      <c r="L1972" s="474"/>
      <c r="M1972" s="471"/>
      <c r="N1972" s="405"/>
      <c r="O1972" s="541"/>
      <c r="P1972" s="405"/>
      <c r="Q1972" s="405"/>
      <c r="S1972" s="344" t="str">
        <f t="shared" si="254"/>
        <v>SERVIÇOS TÉCNICOS</v>
      </c>
    </row>
    <row r="1973" spans="1:37" s="414" customFormat="1">
      <c r="A1973" s="421" t="s">
        <v>20</v>
      </c>
      <c r="B1973" s="611"/>
      <c r="C1973" s="421"/>
      <c r="D1973" s="420" t="s">
        <v>2324</v>
      </c>
      <c r="E1973" s="421" t="s">
        <v>76</v>
      </c>
      <c r="F1973" s="611"/>
      <c r="G1973" s="611"/>
      <c r="H1973" s="611"/>
      <c r="I1973" s="611"/>
      <c r="J1973" s="611"/>
      <c r="K1973" s="498"/>
      <c r="L1973" s="474"/>
      <c r="M1973" s="471"/>
      <c r="N1973" s="419"/>
      <c r="O1973" s="541"/>
      <c r="P1973" s="419"/>
      <c r="Q1973" s="419"/>
      <c r="S1973" s="414" t="str">
        <f t="shared" si="254"/>
        <v>LOCAÇÃO DA OBRA</v>
      </c>
    </row>
    <row r="1974" spans="1:37" s="344" customFormat="1">
      <c r="A1974" s="18" t="s">
        <v>153</v>
      </c>
      <c r="B1974" s="49">
        <f>'[3]Plan Tron'!B178</f>
        <v>73610</v>
      </c>
      <c r="C1974" s="49" t="str">
        <f>'[3]Plan Tron'!C178</f>
        <v>SINAPI</v>
      </c>
      <c r="D1974" s="612" t="str">
        <f>'[3]Plan Tron'!D178</f>
        <v>LOCAÇÃO DE REDES DE ÁGUA OU DE ESGOTO</v>
      </c>
      <c r="E1974" s="49" t="str">
        <f>'[3]Plan Tron'!E178</f>
        <v>M</v>
      </c>
      <c r="F1974" s="22">
        <v>300.67</v>
      </c>
      <c r="G1974" s="22">
        <v>0.65</v>
      </c>
      <c r="H1974" s="22">
        <f>'[3]Plan Tron'!F178</f>
        <v>0.92</v>
      </c>
      <c r="I1974" s="22">
        <v>26.44</v>
      </c>
      <c r="J1974" s="22">
        <f>ROUND(H1974*(I1974/100+1),2)</f>
        <v>1.1599999999999999</v>
      </c>
      <c r="K1974" s="383">
        <v>0</v>
      </c>
      <c r="L1974" s="474">
        <f>F1974-K1974</f>
        <v>300.67</v>
      </c>
      <c r="M1974" s="471">
        <f t="shared" ref="M1974:M2019" si="255">ROUND(L1974*J1974,2)</f>
        <v>348.78</v>
      </c>
      <c r="N1974" s="405"/>
      <c r="O1974" s="541"/>
      <c r="P1974" s="405"/>
      <c r="Q1974" s="405"/>
      <c r="S1974" s="344" t="str">
        <f t="shared" si="254"/>
        <v>LOCAÇÃO DE REDES DE ÁGUA OU DE ESGOTO</v>
      </c>
    </row>
    <row r="1975" spans="1:37" s="414" customFormat="1">
      <c r="A1975" s="421" t="s">
        <v>19</v>
      </c>
      <c r="B1975" s="425"/>
      <c r="C1975" s="410"/>
      <c r="D1975" s="420" t="s">
        <v>2325</v>
      </c>
      <c r="E1975" s="421" t="s">
        <v>76</v>
      </c>
      <c r="F1975" s="611"/>
      <c r="G1975" s="611"/>
      <c r="H1975" s="611"/>
      <c r="I1975" s="611"/>
      <c r="J1975" s="611"/>
      <c r="K1975" s="498"/>
      <c r="L1975" s="474"/>
      <c r="M1975" s="471"/>
      <c r="N1975" s="419"/>
      <c r="O1975" s="541"/>
      <c r="P1975" s="419"/>
      <c r="Q1975" s="419"/>
      <c r="S1975" s="414" t="str">
        <f t="shared" si="254"/>
        <v>ACESSOS E PASSADIÇOS</v>
      </c>
    </row>
    <row r="1976" spans="1:37" s="414" customFormat="1">
      <c r="A1976" s="421" t="s">
        <v>147</v>
      </c>
      <c r="B1976" s="611"/>
      <c r="C1976" s="410"/>
      <c r="D1976" s="420" t="s">
        <v>2326</v>
      </c>
      <c r="E1976" s="421" t="s">
        <v>76</v>
      </c>
      <c r="F1976" s="611"/>
      <c r="G1976" s="611"/>
      <c r="H1976" s="611"/>
      <c r="I1976" s="611"/>
      <c r="J1976" s="611"/>
      <c r="K1976" s="498"/>
      <c r="L1976" s="474"/>
      <c r="M1976" s="471"/>
      <c r="N1976" s="419"/>
      <c r="O1976" s="541"/>
      <c r="P1976" s="419"/>
      <c r="Q1976" s="419"/>
      <c r="S1976" s="414" t="str">
        <f t="shared" si="254"/>
        <v>PASSADIÇOS E TRAVESSIAS - MONTAGEM, MANUTENÇÃO E REMOÇÃO.</v>
      </c>
    </row>
    <row r="1977" spans="1:37" s="344" customFormat="1">
      <c r="A1977" s="18" t="s">
        <v>146</v>
      </c>
      <c r="B1977" s="49" t="str">
        <f>'[3]Plan Tron'!B99</f>
        <v xml:space="preserve">74219/001 </v>
      </c>
      <c r="C1977" s="49" t="str">
        <f>'[3]Plan Tron'!C99</f>
        <v>SINAPI</v>
      </c>
      <c r="D1977" s="612" t="str">
        <f>'[3]Plan Tron'!D99</f>
        <v>PASSADICOS COM TABUAS DE MADEIRA PARA PEDESTRES</v>
      </c>
      <c r="E1977" s="49" t="str">
        <f>'[3]Plan Tron'!E99</f>
        <v>M²</v>
      </c>
      <c r="F1977" s="352">
        <v>31.26</v>
      </c>
      <c r="G1977" s="22">
        <v>38.39</v>
      </c>
      <c r="H1977" s="22">
        <f>'[3]Plan Tron'!F99</f>
        <v>51.52</v>
      </c>
      <c r="I1977" s="22">
        <v>26.44</v>
      </c>
      <c r="J1977" s="22">
        <f>ROUND(H1977*(I1977/100+1),2)</f>
        <v>65.14</v>
      </c>
      <c r="K1977" s="383">
        <v>0</v>
      </c>
      <c r="L1977" s="474">
        <f>F1977-K1977</f>
        <v>31.26</v>
      </c>
      <c r="M1977" s="471">
        <f t="shared" si="255"/>
        <v>2036.28</v>
      </c>
      <c r="N1977" s="405"/>
      <c r="O1977" s="541"/>
      <c r="P1977" s="405"/>
      <c r="Q1977" s="405"/>
      <c r="S1977" s="344" t="str">
        <f t="shared" si="254"/>
        <v>PASSADICOS COM TABUAS DE MADEIRA PARA PEDESTRES</v>
      </c>
    </row>
    <row r="1978" spans="1:37" s="344" customFormat="1">
      <c r="A1978" s="18" t="s">
        <v>1197</v>
      </c>
      <c r="B1978" s="49" t="str">
        <f>'[3]Plan Tron'!B100</f>
        <v xml:space="preserve">74219/002 </v>
      </c>
      <c r="C1978" s="49" t="str">
        <f>'[3]Plan Tron'!C100</f>
        <v>SINAPI</v>
      </c>
      <c r="D1978" s="612" t="str">
        <f>'[3]Plan Tron'!D100</f>
        <v xml:space="preserve">PASSADICOS COM TABUAS DE MADEIRA PARA VEICULOS </v>
      </c>
      <c r="E1978" s="49" t="str">
        <f>'[3]Plan Tron'!E100</f>
        <v>M²</v>
      </c>
      <c r="F1978" s="22">
        <v>31.8</v>
      </c>
      <c r="G1978" s="22">
        <v>33.68</v>
      </c>
      <c r="H1978" s="22">
        <f>'[3]Plan Tron'!F100</f>
        <v>46.27</v>
      </c>
      <c r="I1978" s="22">
        <v>26.44</v>
      </c>
      <c r="J1978" s="22">
        <f>ROUND(G1978*(I1978/100+1),2)</f>
        <v>42.58</v>
      </c>
      <c r="K1978" s="383">
        <v>0</v>
      </c>
      <c r="L1978" s="474">
        <f>F1978-K1978</f>
        <v>31.8</v>
      </c>
      <c r="M1978" s="471">
        <f t="shared" si="255"/>
        <v>1354.04</v>
      </c>
      <c r="N1978" s="405"/>
      <c r="O1978" s="541"/>
      <c r="P1978" s="405"/>
      <c r="Q1978" s="405"/>
      <c r="S1978" s="344" t="str">
        <f t="shared" si="254"/>
        <v xml:space="preserve">PASSADICOS COM TABUAS DE MADEIRA PARA VEICULOS </v>
      </c>
    </row>
    <row r="1979" spans="1:37" s="344" customFormat="1">
      <c r="A1979" s="18"/>
      <c r="B1979" s="22"/>
      <c r="C1979" s="18"/>
      <c r="D1979" s="110"/>
      <c r="E1979" s="18"/>
      <c r="F1979" s="22"/>
      <c r="G1979" s="22"/>
      <c r="H1979" s="22"/>
      <c r="I1979" s="22"/>
      <c r="J1979" s="22"/>
      <c r="K1979" s="110"/>
      <c r="L1979" s="474"/>
      <c r="M1979" s="471"/>
      <c r="N1979" s="405"/>
      <c r="O1979" s="541"/>
      <c r="P1979" s="405"/>
      <c r="Q1979" s="405"/>
    </row>
    <row r="1980" spans="1:37" s="344" customFormat="1">
      <c r="A1980" s="18"/>
      <c r="B1980" s="22"/>
      <c r="C1980" s="18"/>
      <c r="D1980" s="35" t="s">
        <v>76</v>
      </c>
      <c r="E1980" s="18" t="s">
        <v>76</v>
      </c>
      <c r="F1980" s="22"/>
      <c r="G1980" s="22"/>
      <c r="H1980" s="22"/>
      <c r="I1980" s="22"/>
      <c r="J1980" s="22"/>
      <c r="K1980" s="383"/>
      <c r="L1980" s="474"/>
      <c r="M1980" s="471"/>
      <c r="N1980" s="405"/>
      <c r="O1980" s="541"/>
      <c r="P1980" s="405"/>
      <c r="Q1980" s="405"/>
      <c r="S1980" s="344" t="str">
        <f t="shared" ref="S1980:S1996" si="256">UPPER(D1980)</f>
        <v/>
      </c>
    </row>
    <row r="1981" spans="1:37" s="344" customFormat="1">
      <c r="A1981" s="196">
        <v>2</v>
      </c>
      <c r="B1981" s="22"/>
      <c r="C1981" s="196"/>
      <c r="D1981" s="396" t="s">
        <v>2038</v>
      </c>
      <c r="E1981" s="18" t="s">
        <v>76</v>
      </c>
      <c r="F1981" s="22"/>
      <c r="G1981" s="22"/>
      <c r="H1981" s="22"/>
      <c r="I1981" s="22"/>
      <c r="J1981" s="22"/>
      <c r="K1981" s="383"/>
      <c r="L1981" s="474"/>
      <c r="M1981" s="471"/>
      <c r="N1981" s="405"/>
      <c r="O1981" s="541"/>
      <c r="P1981" s="405"/>
      <c r="Q1981" s="405"/>
      <c r="S1981" s="344" t="str">
        <f t="shared" si="256"/>
        <v>MOVIMENTO DE TERRA</v>
      </c>
    </row>
    <row r="1982" spans="1:37" s="414" customFormat="1">
      <c r="A1982" s="410" t="s">
        <v>9</v>
      </c>
      <c r="B1982" s="411"/>
      <c r="C1982" s="410"/>
      <c r="D1982" s="613" t="s">
        <v>2041</v>
      </c>
      <c r="E1982" s="424" t="s">
        <v>76</v>
      </c>
      <c r="F1982" s="422"/>
      <c r="G1982" s="413"/>
      <c r="H1982" s="413"/>
      <c r="I1982" s="611"/>
      <c r="J1982" s="611"/>
      <c r="K1982" s="498"/>
      <c r="L1982" s="474"/>
      <c r="M1982" s="471"/>
      <c r="N1982" s="419"/>
      <c r="O1982" s="541"/>
      <c r="P1982" s="419"/>
      <c r="Q1982" s="419"/>
      <c r="S1982" s="414" t="str">
        <f t="shared" si="256"/>
        <v>ESCAVAÇÃO DE VALAS</v>
      </c>
    </row>
    <row r="1983" spans="1:37" s="414" customFormat="1">
      <c r="A1983" s="410" t="s">
        <v>348</v>
      </c>
      <c r="B1983" s="411"/>
      <c r="C1983" s="410"/>
      <c r="D1983" s="613" t="s">
        <v>2043</v>
      </c>
      <c r="E1983" s="424" t="s">
        <v>76</v>
      </c>
      <c r="F1983" s="422"/>
      <c r="G1983" s="413"/>
      <c r="H1983" s="413"/>
      <c r="I1983" s="611"/>
      <c r="J1983" s="611"/>
      <c r="K1983" s="498"/>
      <c r="L1983" s="474"/>
      <c r="M1983" s="471"/>
      <c r="N1983" s="419"/>
      <c r="O1983" s="541"/>
      <c r="P1983" s="419"/>
      <c r="Q1983" s="419"/>
      <c r="S1983" s="414" t="str">
        <f t="shared" si="256"/>
        <v>ESCAVAÇÃO MECÂNICA DE VALAS</v>
      </c>
    </row>
    <row r="1984" spans="1:37" s="344" customFormat="1" ht="25.5">
      <c r="A1984" s="49" t="s">
        <v>417</v>
      </c>
      <c r="B1984" s="49" t="str">
        <f>'[3]Plan Tron'!B6</f>
        <v xml:space="preserve">74151/001 </v>
      </c>
      <c r="C1984" s="49" t="str">
        <f>'[3]Plan Tron'!C6</f>
        <v>SINAPI</v>
      </c>
      <c r="D1984" s="614" t="str">
        <f>'[3]Plan Tron'!D6</f>
        <v>ESCAVACAO E CARGA MATERIAL 1A CATEGORIA, UTILIZANDO TRATOR DE ESTEIRAS DE 110 A 160HP COM LAMINA, PESO OPERACIONAL * 13T E PA CARREGADEIRA COM 170 HP.</v>
      </c>
      <c r="E1984" s="49" t="str">
        <f>'[3]Plan Tron'!E6</f>
        <v>M³</v>
      </c>
      <c r="F1984" s="21">
        <v>176.87</v>
      </c>
      <c r="G1984" s="10">
        <v>10.220000000000001</v>
      </c>
      <c r="H1984" s="10">
        <f>'[3]Plan Tron'!F6</f>
        <v>3.37</v>
      </c>
      <c r="I1984" s="22">
        <v>26.44</v>
      </c>
      <c r="J1984" s="22">
        <f>ROUND(H1984*(I1984/100+1),2)</f>
        <v>4.26</v>
      </c>
      <c r="K1984" s="383">
        <v>0</v>
      </c>
      <c r="L1984" s="474">
        <f>F1984-K1984</f>
        <v>176.87</v>
      </c>
      <c r="M1984" s="471">
        <f t="shared" si="255"/>
        <v>753.47</v>
      </c>
      <c r="N1984" s="405"/>
      <c r="O1984" s="541"/>
      <c r="P1984" s="405"/>
      <c r="Q1984" s="405"/>
      <c r="S1984" s="344" t="str">
        <f t="shared" si="256"/>
        <v>ESCAVACAO E CARGA MATERIAL 1A CATEGORIA, UTILIZANDO TRATOR DE ESTEIRAS DE 110 A 160HP COM LAMINA, PESO OPERACIONAL * 13T E PA CARREGADEIRA COM 170 HP.</v>
      </c>
    </row>
    <row r="1985" spans="1:19" s="414" customFormat="1">
      <c r="A1985" s="410" t="s">
        <v>8</v>
      </c>
      <c r="B1985" s="411"/>
      <c r="C1985" s="410"/>
      <c r="D1985" s="613" t="s">
        <v>2044</v>
      </c>
      <c r="E1985" s="424" t="s">
        <v>76</v>
      </c>
      <c r="F1985" s="422"/>
      <c r="G1985" s="413"/>
      <c r="H1985" s="413"/>
      <c r="I1985" s="611"/>
      <c r="J1985" s="611"/>
      <c r="K1985" s="498"/>
      <c r="L1985" s="474"/>
      <c r="M1985" s="471"/>
      <c r="N1985" s="419"/>
      <c r="O1985" s="541"/>
      <c r="P1985" s="419"/>
      <c r="Q1985" s="419"/>
      <c r="S1985" s="414" t="str">
        <f t="shared" si="256"/>
        <v>ATERRO / REATERRO DE VALAS COM OU S/ COMPACTAÇÃO</v>
      </c>
    </row>
    <row r="1986" spans="1:19" s="414" customFormat="1">
      <c r="A1986" s="410" t="s">
        <v>317</v>
      </c>
      <c r="B1986" s="411"/>
      <c r="C1986" s="410"/>
      <c r="D1986" s="613" t="s">
        <v>2045</v>
      </c>
      <c r="E1986" s="424" t="s">
        <v>76</v>
      </c>
      <c r="F1986" s="422"/>
      <c r="G1986" s="413"/>
      <c r="H1986" s="413"/>
      <c r="I1986" s="611"/>
      <c r="J1986" s="611"/>
      <c r="K1986" s="498"/>
      <c r="L1986" s="474"/>
      <c r="M1986" s="471"/>
      <c r="N1986" s="419"/>
      <c r="O1986" s="541"/>
      <c r="P1986" s="419"/>
      <c r="Q1986" s="419"/>
      <c r="S1986" s="414" t="str">
        <f t="shared" si="256"/>
        <v>REATERRO DE VALAS</v>
      </c>
    </row>
    <row r="1987" spans="1:19" s="344" customFormat="1">
      <c r="A1987" s="49" t="s">
        <v>318</v>
      </c>
      <c r="B1987" s="49" t="str">
        <f>'[3]Plan Tron'!B12</f>
        <v xml:space="preserve">73964/006 </v>
      </c>
      <c r="C1987" s="49" t="str">
        <f>'[3]Plan Tron'!C12</f>
        <v>SINAPI</v>
      </c>
      <c r="D1987" s="612" t="str">
        <f>'[3]Plan Tron'!D12</f>
        <v xml:space="preserve">REATERRO DE VALA COM COMPACTAÇÃO MANUAL </v>
      </c>
      <c r="E1987" s="49" t="str">
        <f>'[3]Plan Tron'!E12</f>
        <v>M³</v>
      </c>
      <c r="F1987" s="21">
        <v>20.420000000000002</v>
      </c>
      <c r="G1987" s="10">
        <v>20.67</v>
      </c>
      <c r="H1987" s="10">
        <f>'[3]Plan Tron'!F12</f>
        <v>49.62</v>
      </c>
      <c r="I1987" s="22">
        <v>26.44</v>
      </c>
      <c r="J1987" s="22">
        <f>ROUND(H1987*(I1987/100+1),2)</f>
        <v>62.74</v>
      </c>
      <c r="K1987" s="383">
        <v>0</v>
      </c>
      <c r="L1987" s="474">
        <f>F1987-K1987</f>
        <v>20.420000000000002</v>
      </c>
      <c r="M1987" s="471">
        <f t="shared" si="255"/>
        <v>1281.1500000000001</v>
      </c>
      <c r="N1987" s="405"/>
      <c r="O1987" s="541"/>
      <c r="P1987" s="405"/>
      <c r="Q1987" s="405"/>
      <c r="S1987" s="344" t="str">
        <f t="shared" si="256"/>
        <v xml:space="preserve">REATERRO DE VALA COM COMPACTAÇÃO MANUAL </v>
      </c>
    </row>
    <row r="1988" spans="1:19" s="344" customFormat="1" ht="38.25">
      <c r="A1988" s="49" t="s">
        <v>807</v>
      </c>
      <c r="B1988" s="49">
        <f>'[3]Plan Tron'!B101</f>
        <v>93379</v>
      </c>
      <c r="C1988" s="49" t="str">
        <f>'[3]Plan Tron'!C101</f>
        <v>SINAPI</v>
      </c>
      <c r="D1988" s="614" t="str">
        <f>'[3]Plan Tron'!D101</f>
        <v>REATERRO MECANIZADO DE VALA COM RETROESCAVADEIRA (CAPACIDADE DA CAÇAMBA DA RETRO: 0,26 M³ /POTÊNCIA: 88 HP), LARGURA DE 0,8 A 1,5 M, PROFUNDIDADE ATÉ 1,5 M, COM SOLO (SEM SUBSTITUIÇÃO) DE 1ª CATEGORIA EM LOCAIS COM BAIXO NÍVEL DE INTERFERÊNCIA. AF_04/2016</v>
      </c>
      <c r="E1988" s="49" t="str">
        <f>'[3]Plan Tron'!E101</f>
        <v>M³</v>
      </c>
      <c r="F1988" s="21">
        <v>47.64</v>
      </c>
      <c r="G1988" s="10">
        <v>7.8</v>
      </c>
      <c r="H1988" s="10">
        <f>'[3]Plan Tron'!F101</f>
        <v>13.36</v>
      </c>
      <c r="I1988" s="22">
        <v>26.44</v>
      </c>
      <c r="J1988" s="22">
        <f t="shared" ref="J1988:J1994" si="257">ROUND(H1988*(I1988/100+1),2)</f>
        <v>16.89</v>
      </c>
      <c r="K1988" s="383">
        <v>0</v>
      </c>
      <c r="L1988" s="474">
        <f>F1988-K1988</f>
        <v>47.64</v>
      </c>
      <c r="M1988" s="471">
        <f t="shared" si="255"/>
        <v>804.64</v>
      </c>
      <c r="N1988" s="405"/>
      <c r="O1988" s="541"/>
      <c r="P1988" s="405"/>
      <c r="Q1988" s="405"/>
      <c r="S1988" s="344" t="str">
        <f t="shared" si="256"/>
        <v>REATERRO MECANIZADO DE VALA COM RETROESCAVADEIRA (CAPACIDADE DA CAÇAMBA DA RETRO: 0,26 M³ /POTÊNCIA: 88 HP), LARGURA DE 0,8 A 1,5 M, PROFUNDIDADE ATÉ 1,5 M, COM SOLO (SEM SUBSTITUIÇÃO) DE 1ª CATEGORIA EM LOCAIS COM BAIXO NÍVEL DE INTERFERÊNCIA. AF_04/2016</v>
      </c>
    </row>
    <row r="1989" spans="1:19" s="414" customFormat="1">
      <c r="A1989" s="410" t="s">
        <v>7</v>
      </c>
      <c r="B1989" s="411"/>
      <c r="C1989" s="410"/>
      <c r="D1989" s="613" t="s">
        <v>2327</v>
      </c>
      <c r="E1989" s="424" t="s">
        <v>76</v>
      </c>
      <c r="F1989" s="422"/>
      <c r="G1989" s="413"/>
      <c r="H1989" s="413"/>
      <c r="I1989" s="611"/>
      <c r="J1989" s="22"/>
      <c r="K1989" s="498"/>
      <c r="L1989" s="474"/>
      <c r="M1989" s="471"/>
      <c r="N1989" s="419"/>
      <c r="O1989" s="541"/>
      <c r="P1989" s="419"/>
      <c r="Q1989" s="419"/>
      <c r="S1989" s="414" t="str">
        <f t="shared" si="256"/>
        <v>ENVOLTÓRIA DE AREIA</v>
      </c>
    </row>
    <row r="1990" spans="1:19" s="344" customFormat="1" ht="25.5">
      <c r="A1990" s="49" t="s">
        <v>314</v>
      </c>
      <c r="B1990" s="332">
        <f>'[3]Plan Tron'!B180</f>
        <v>368</v>
      </c>
      <c r="C1990" s="332" t="str">
        <f>'[3]Plan Tron'!C180</f>
        <v>SINAPI (INSUMO)</v>
      </c>
      <c r="D1990" s="614" t="str">
        <f>'[3]Plan Tron'!D180</f>
        <v>AREIA PARA ATERRO - POSTO JAZIDA/FORNECEDOR (RETIRADO NA JAZIDA, SEM TRANSPORTE)</v>
      </c>
      <c r="E1990" s="332" t="str">
        <f>'[3]Plan Tron'!E180</f>
        <v>M³</v>
      </c>
      <c r="F1990" s="21">
        <v>105.88</v>
      </c>
      <c r="G1990" s="10">
        <v>28.8</v>
      </c>
      <c r="H1990" s="10">
        <f>'[3]Plan Tron'!F180</f>
        <v>45.56</v>
      </c>
      <c r="I1990" s="22">
        <v>26.44</v>
      </c>
      <c r="J1990" s="22">
        <f t="shared" si="257"/>
        <v>57.61</v>
      </c>
      <c r="K1990" s="383">
        <v>0</v>
      </c>
      <c r="L1990" s="474">
        <f>F1990-K1990</f>
        <v>105.88</v>
      </c>
      <c r="M1990" s="471">
        <f t="shared" si="255"/>
        <v>6099.75</v>
      </c>
      <c r="N1990" s="405"/>
      <c r="O1990" s="541"/>
      <c r="P1990" s="405"/>
      <c r="Q1990" s="405"/>
      <c r="S1990" s="344" t="str">
        <f t="shared" si="256"/>
        <v>AREIA PARA ATERRO - POSTO JAZIDA/FORNECEDOR (RETIRADO NA JAZIDA, SEM TRANSPORTE)</v>
      </c>
    </row>
    <row r="1991" spans="1:19" s="344" customFormat="1" ht="25.5">
      <c r="A1991" s="49" t="s">
        <v>347</v>
      </c>
      <c r="B1991" s="332">
        <f>'[3]Plan Tron'!B155</f>
        <v>6111</v>
      </c>
      <c r="C1991" s="332" t="str">
        <f>'[3]Plan Tron'!C155</f>
        <v>SINAPI (INSUMO)</v>
      </c>
      <c r="D1991" s="614" t="str">
        <f>'[3]Plan Tron'!D155</f>
        <v xml:space="preserve">SERVENTE </v>
      </c>
      <c r="E1991" s="332" t="str">
        <f>'[3]Plan Tron'!E155</f>
        <v>H</v>
      </c>
      <c r="F1991" s="21">
        <v>50.3</v>
      </c>
      <c r="G1991" s="10">
        <v>9.84</v>
      </c>
      <c r="H1991" s="10">
        <f>'[3]Plan Tron'!F155</f>
        <v>12.02</v>
      </c>
      <c r="I1991" s="22">
        <v>26.44</v>
      </c>
      <c r="J1991" s="22">
        <f t="shared" si="257"/>
        <v>15.2</v>
      </c>
      <c r="K1991" s="383">
        <v>0</v>
      </c>
      <c r="L1991" s="474">
        <f>F1991-K1991</f>
        <v>50.3</v>
      </c>
      <c r="M1991" s="471">
        <f t="shared" si="255"/>
        <v>764.56</v>
      </c>
      <c r="N1991" s="405"/>
      <c r="O1991" s="541"/>
      <c r="P1991" s="405"/>
      <c r="Q1991" s="405"/>
      <c r="S1991" s="344" t="str">
        <f t="shared" si="256"/>
        <v xml:space="preserve">SERVENTE </v>
      </c>
    </row>
    <row r="1992" spans="1:19" s="414" customFormat="1">
      <c r="A1992" s="410" t="s">
        <v>6</v>
      </c>
      <c r="B1992" s="411"/>
      <c r="C1992" s="410"/>
      <c r="D1992" s="613" t="s">
        <v>2046</v>
      </c>
      <c r="E1992" s="424" t="s">
        <v>76</v>
      </c>
      <c r="F1992" s="422"/>
      <c r="G1992" s="413"/>
      <c r="H1992" s="413"/>
      <c r="I1992" s="611"/>
      <c r="J1992" s="22"/>
      <c r="K1992" s="498"/>
      <c r="L1992" s="474"/>
      <c r="M1992" s="471"/>
      <c r="N1992" s="419"/>
      <c r="O1992" s="541"/>
      <c r="P1992" s="419"/>
      <c r="Q1992" s="419"/>
      <c r="S1992" s="414" t="str">
        <f t="shared" si="256"/>
        <v>CARGA, DESCARGA E/OU TRANSPORTE DE MATERIAIS</v>
      </c>
    </row>
    <row r="1993" spans="1:19" s="344" customFormat="1">
      <c r="A1993" s="49" t="s">
        <v>311</v>
      </c>
      <c r="B1993" s="49">
        <f>'[3]Plan Tron'!B13</f>
        <v>72885</v>
      </c>
      <c r="C1993" s="49" t="str">
        <f>'[3]Plan Tron'!C13</f>
        <v>SINAPI</v>
      </c>
      <c r="D1993" s="612" t="str">
        <f>'[3]Plan Tron'!D13</f>
        <v>TRANSPORTE COMERCIAL COM CAMINHAO BASCULANTE 6 M3, RODOVIA EM LEITO NATURAL</v>
      </c>
      <c r="E1993" s="49" t="str">
        <f>'[3]Plan Tron'!E13</f>
        <v>M³ X KM</v>
      </c>
      <c r="F1993" s="21">
        <v>1047</v>
      </c>
      <c r="G1993" s="10">
        <v>1.03</v>
      </c>
      <c r="H1993" s="10">
        <f>'[3]Plan Tron'!F13</f>
        <v>1.37</v>
      </c>
      <c r="I1993" s="22">
        <v>26.44</v>
      </c>
      <c r="J1993" s="22">
        <f t="shared" si="257"/>
        <v>1.73</v>
      </c>
      <c r="K1993" s="383">
        <v>0</v>
      </c>
      <c r="L1993" s="474">
        <f>F1993-K1993</f>
        <v>1047</v>
      </c>
      <c r="M1993" s="471">
        <f t="shared" si="255"/>
        <v>1811.31</v>
      </c>
      <c r="N1993" s="405"/>
      <c r="O1993" s="541"/>
      <c r="P1993" s="405"/>
      <c r="Q1993" s="405"/>
      <c r="S1993" s="344" t="str">
        <f t="shared" si="256"/>
        <v>TRANSPORTE COMERCIAL COM CAMINHAO BASCULANTE 6 M3, RODOVIA EM LEITO NATURAL</v>
      </c>
    </row>
    <row r="1994" spans="1:19" s="344" customFormat="1" ht="25.5">
      <c r="A1994" s="49" t="s">
        <v>710</v>
      </c>
      <c r="B1994" s="49">
        <f>'[3]Plan Tron'!B14</f>
        <v>72888</v>
      </c>
      <c r="C1994" s="49" t="str">
        <f>'[3]Plan Tron'!C14</f>
        <v>SINAPI</v>
      </c>
      <c r="D1994" s="614" t="str">
        <f>'[3]Plan Tron'!D14</f>
        <v>CARGA, MANOBRAS E DESCARGA DE AREIA, BRITA, PEDRA DE MAO E SOLOS COM CAMINHAO BASCULANTE 6 M3 (DESCARGA LIVRE)</v>
      </c>
      <c r="E1994" s="49" t="str">
        <f>'[3]Plan Tron'!E14</f>
        <v>M³</v>
      </c>
      <c r="F1994" s="21">
        <v>209.4</v>
      </c>
      <c r="G1994" s="10">
        <v>0.81</v>
      </c>
      <c r="H1994" s="10">
        <f>'[3]Plan Tron'!F14</f>
        <v>0.96</v>
      </c>
      <c r="I1994" s="22">
        <v>26.44</v>
      </c>
      <c r="J1994" s="22">
        <f t="shared" si="257"/>
        <v>1.21</v>
      </c>
      <c r="K1994" s="383">
        <v>0</v>
      </c>
      <c r="L1994" s="474">
        <f>F1994-K1994</f>
        <v>209.4</v>
      </c>
      <c r="M1994" s="471">
        <f t="shared" si="255"/>
        <v>253.37</v>
      </c>
      <c r="N1994" s="405"/>
      <c r="O1994" s="541"/>
      <c r="P1994" s="405"/>
      <c r="Q1994" s="405"/>
      <c r="S1994" s="344" t="str">
        <f t="shared" si="256"/>
        <v>CARGA, MANOBRAS E DESCARGA DE AREIA, BRITA, PEDRA DE MAO E SOLOS COM CAMINHAO BASCULANTE 6 M3 (DESCARGA LIVRE)</v>
      </c>
    </row>
    <row r="1995" spans="1:19" s="414" customFormat="1">
      <c r="A1995" s="410" t="s">
        <v>5</v>
      </c>
      <c r="B1995" s="411"/>
      <c r="C1995" s="410"/>
      <c r="D1995" s="613" t="s">
        <v>2100</v>
      </c>
      <c r="E1995" s="424" t="s">
        <v>76</v>
      </c>
      <c r="F1995" s="422"/>
      <c r="G1995" s="413"/>
      <c r="H1995" s="413"/>
      <c r="I1995" s="611"/>
      <c r="J1995" s="611"/>
      <c r="K1995" s="383"/>
      <c r="L1995" s="474"/>
      <c r="M1995" s="471"/>
      <c r="N1995" s="419"/>
      <c r="O1995" s="541"/>
      <c r="P1995" s="419"/>
      <c r="Q1995" s="419"/>
      <c r="S1995" s="414" t="str">
        <f t="shared" si="256"/>
        <v>COMPACTAÇÃO OU APILOAMENTO</v>
      </c>
    </row>
    <row r="1996" spans="1:19" s="344" customFormat="1" ht="25.5">
      <c r="A1996" s="49" t="s">
        <v>346</v>
      </c>
      <c r="B1996" s="49">
        <f>'[3]Plan Tron'!B89</f>
        <v>94098</v>
      </c>
      <c r="C1996" s="49" t="str">
        <f>'[3]Plan Tron'!C89</f>
        <v>SINAPI</v>
      </c>
      <c r="D1996" s="614" t="str">
        <f>'[3]Plan Tron'!D89</f>
        <v>PREPARO DE FUNDO DE VALA COM LARGURA MENOR QUE 1,5 M, EM LOCAL COM NÍVEL ALTO DE INTERFERÊNCIA. AF_06/2016</v>
      </c>
      <c r="E1996" s="49" t="str">
        <f>'[3]Plan Tron'!E89</f>
        <v>M²</v>
      </c>
      <c r="F1996" s="21">
        <v>992.21</v>
      </c>
      <c r="G1996" s="10">
        <v>3.24</v>
      </c>
      <c r="H1996" s="10">
        <f>'[3]Plan Tron'!F89</f>
        <v>5.53</v>
      </c>
      <c r="I1996" s="22">
        <v>26.44</v>
      </c>
      <c r="J1996" s="22">
        <f>ROUND(H1996*(I1996/100+1),2)</f>
        <v>6.99</v>
      </c>
      <c r="K1996" s="383">
        <v>0</v>
      </c>
      <c r="L1996" s="474">
        <f>F1996-K1996</f>
        <v>992.21</v>
      </c>
      <c r="M1996" s="471">
        <f t="shared" si="255"/>
        <v>6935.55</v>
      </c>
      <c r="N1996" s="405"/>
      <c r="O1996" s="541"/>
      <c r="P1996" s="405"/>
      <c r="Q1996" s="405"/>
      <c r="S1996" s="344" t="str">
        <f t="shared" si="256"/>
        <v>PREPARO DE FUNDO DE VALA COM LARGURA MENOR QUE 1,5 M, EM LOCAL COM NÍVEL ALTO DE INTERFERÊNCIA. AF_06/2016</v>
      </c>
    </row>
    <row r="1997" spans="1:19" s="344" customFormat="1">
      <c r="A1997" s="49"/>
      <c r="B1997" s="17"/>
      <c r="C1997" s="49"/>
      <c r="D1997" s="451"/>
      <c r="E1997" s="7"/>
      <c r="F1997" s="10"/>
      <c r="G1997" s="21"/>
      <c r="H1997" s="21"/>
      <c r="I1997" s="22"/>
      <c r="J1997" s="22"/>
      <c r="K1997" s="451"/>
      <c r="L1997" s="474"/>
      <c r="M1997" s="471"/>
      <c r="N1997" s="405"/>
      <c r="O1997" s="541"/>
      <c r="P1997" s="405"/>
      <c r="Q1997" s="405"/>
    </row>
    <row r="1998" spans="1:19" s="344" customFormat="1">
      <c r="A1998" s="49"/>
      <c r="B1998" s="17"/>
      <c r="C1998" s="49"/>
      <c r="D1998" s="52" t="s">
        <v>76</v>
      </c>
      <c r="E1998" s="7" t="s">
        <v>76</v>
      </c>
      <c r="F1998" s="10"/>
      <c r="G1998" s="21"/>
      <c r="H1998" s="21"/>
      <c r="I1998" s="22"/>
      <c r="J1998" s="22"/>
      <c r="K1998" s="383"/>
      <c r="L1998" s="474"/>
      <c r="M1998" s="471"/>
      <c r="N1998" s="405"/>
      <c r="O1998" s="541"/>
      <c r="P1998" s="405"/>
      <c r="Q1998" s="405"/>
      <c r="S1998" s="344" t="str">
        <f t="shared" ref="S1998:S2004" si="258">UPPER(D1998)</f>
        <v/>
      </c>
    </row>
    <row r="1999" spans="1:19" s="344" customFormat="1">
      <c r="A1999" s="196">
        <v>3</v>
      </c>
      <c r="B1999" s="22"/>
      <c r="C1999" s="196"/>
      <c r="D1999" s="396" t="s">
        <v>2122</v>
      </c>
      <c r="E1999" s="18" t="s">
        <v>76</v>
      </c>
      <c r="F1999" s="22"/>
      <c r="G1999" s="22"/>
      <c r="H1999" s="22"/>
      <c r="I1999" s="22"/>
      <c r="J1999" s="22"/>
      <c r="K1999" s="383"/>
      <c r="L1999" s="474"/>
      <c r="M1999" s="471"/>
      <c r="N1999" s="405"/>
      <c r="O1999" s="541"/>
      <c r="P1999" s="405"/>
      <c r="Q1999" s="405"/>
      <c r="S1999" s="344" t="str">
        <f t="shared" si="258"/>
        <v>ASSENTAMENTO DE TUBOS E PEÇAS</v>
      </c>
    </row>
    <row r="2000" spans="1:19" s="414" customFormat="1">
      <c r="A2000" s="410" t="s">
        <v>144</v>
      </c>
      <c r="B2000" s="411"/>
      <c r="C2000" s="410"/>
      <c r="D2000" s="613" t="s">
        <v>2276</v>
      </c>
      <c r="E2000" s="424" t="s">
        <v>76</v>
      </c>
      <c r="F2000" s="422"/>
      <c r="G2000" s="422"/>
      <c r="H2000" s="422"/>
      <c r="I2000" s="611"/>
      <c r="J2000" s="611"/>
      <c r="K2000" s="498"/>
      <c r="L2000" s="474"/>
      <c r="M2000" s="471"/>
      <c r="N2000" s="419"/>
      <c r="O2000" s="541"/>
      <c r="P2000" s="419"/>
      <c r="Q2000" s="419"/>
      <c r="S2000" s="414" t="str">
        <f t="shared" si="258"/>
        <v>FORNECIMENTO  E/ OU  ASSENTAMENTO DE TUBO DE PVC  COM JUNTA ELÁSTICA.</v>
      </c>
    </row>
    <row r="2001" spans="1:19" s="414" customFormat="1">
      <c r="A2001" s="410" t="s">
        <v>143</v>
      </c>
      <c r="B2001" s="411"/>
      <c r="C2001" s="410"/>
      <c r="D2001" s="613" t="s">
        <v>2330</v>
      </c>
      <c r="E2001" s="424" t="s">
        <v>76</v>
      </c>
      <c r="F2001" s="422"/>
      <c r="G2001" s="422"/>
      <c r="H2001" s="422"/>
      <c r="I2001" s="611"/>
      <c r="J2001" s="611"/>
      <c r="K2001" s="498"/>
      <c r="L2001" s="474"/>
      <c r="M2001" s="471"/>
      <c r="N2001" s="419"/>
      <c r="O2001" s="541"/>
      <c r="P2001" s="419"/>
      <c r="Q2001" s="419"/>
      <c r="S2001" s="414" t="str">
        <f t="shared" si="258"/>
        <v>ASSENTAMENTO TUBO PVC, RPVC, PVC DEFOFO, PRFV, PARA ÁGUA COM JE.</v>
      </c>
    </row>
    <row r="2002" spans="1:19" s="344" customFormat="1" ht="14.25" customHeight="1">
      <c r="A2002" s="49" t="s">
        <v>343</v>
      </c>
      <c r="B2002" s="49" t="str">
        <f>'[3]Plan Tron'!B104</f>
        <v xml:space="preserve">73888/003 </v>
      </c>
      <c r="C2002" s="49" t="str">
        <f>'[3]Plan Tron'!C104</f>
        <v>SINAPI</v>
      </c>
      <c r="D2002" s="612" t="str">
        <f>'[3]Plan Tron'!D104</f>
        <v>ASSENTAMENTO TUBO PVC COM JUNTA ELASTICA, DN 100 MM - (OU RPVC, OU PVC DEFOFO, OU PRFV) - PARA AGUA.</v>
      </c>
      <c r="E2002" s="49" t="str">
        <f>'[3]Plan Tron'!E104</f>
        <v>M</v>
      </c>
      <c r="F2002" s="21">
        <v>225.43</v>
      </c>
      <c r="G2002" s="21">
        <v>1.84</v>
      </c>
      <c r="H2002" s="21">
        <f>'[3]Plan Tron'!F104</f>
        <v>2.92</v>
      </c>
      <c r="I2002" s="22">
        <v>26.44</v>
      </c>
      <c r="J2002" s="22">
        <f>ROUND(H2002*(I2002/100+1),2)</f>
        <v>3.69</v>
      </c>
      <c r="K2002" s="383">
        <v>0</v>
      </c>
      <c r="L2002" s="474">
        <f>F2002-K2002</f>
        <v>225.43</v>
      </c>
      <c r="M2002" s="471">
        <f t="shared" si="255"/>
        <v>831.84</v>
      </c>
      <c r="N2002" s="405"/>
      <c r="O2002" s="541"/>
      <c r="P2002" s="405"/>
      <c r="Q2002" s="405"/>
      <c r="S2002" s="344" t="str">
        <f t="shared" si="258"/>
        <v>ASSENTAMENTO TUBO PVC COM JUNTA ELASTICA, DN 100 MM - (OU RPVC, OU PVC DEFOFO, OU PRFV) - PARA AGUA.</v>
      </c>
    </row>
    <row r="2003" spans="1:19" s="344" customFormat="1">
      <c r="A2003" s="49" t="s">
        <v>934</v>
      </c>
      <c r="B2003" s="49" t="str">
        <f>'[3]Plan Tron'!B181</f>
        <v xml:space="preserve">73888/002 </v>
      </c>
      <c r="C2003" s="49" t="str">
        <f>'[3]Plan Tron'!C181</f>
        <v>SINAPI</v>
      </c>
      <c r="D2003" s="612" t="str">
        <f>'[3]Plan Tron'!D181</f>
        <v>ASSENTAMENTO TUBO PVC COM JUNTA ELASTICA, DN 75 MM - (OU RPVC, OU PVC DEFOFO, OU PRFV) - PARA AGUA.</v>
      </c>
      <c r="E2003" s="49" t="str">
        <f>'[3]Plan Tron'!E181</f>
        <v>M</v>
      </c>
      <c r="F2003" s="21">
        <v>58.71</v>
      </c>
      <c r="G2003" s="21">
        <v>1.47</v>
      </c>
      <c r="H2003" s="21">
        <f>'[3]Plan Tron'!F181</f>
        <v>2.34</v>
      </c>
      <c r="I2003" s="22">
        <v>26.44</v>
      </c>
      <c r="J2003" s="22">
        <f>ROUND(H2003*(I2003/100+1),2)</f>
        <v>2.96</v>
      </c>
      <c r="K2003" s="383">
        <v>0</v>
      </c>
      <c r="L2003" s="474">
        <f>F2003-K2003</f>
        <v>58.71</v>
      </c>
      <c r="M2003" s="471">
        <f t="shared" si="255"/>
        <v>173.78</v>
      </c>
      <c r="N2003" s="405"/>
      <c r="O2003" s="541"/>
      <c r="P2003" s="405"/>
      <c r="Q2003" s="405"/>
      <c r="S2003" s="344" t="str">
        <f t="shared" si="258"/>
        <v>ASSENTAMENTO TUBO PVC COM JUNTA ELASTICA, DN 75 MM - (OU RPVC, OU PVC DEFOFO, OU PRFV) - PARA AGUA.</v>
      </c>
    </row>
    <row r="2004" spans="1:19" s="344" customFormat="1">
      <c r="A2004" s="49" t="s">
        <v>933</v>
      </c>
      <c r="B2004" s="49" t="str">
        <f>'[3]Plan Tron'!B182</f>
        <v xml:space="preserve">73888/001 </v>
      </c>
      <c r="C2004" s="49" t="str">
        <f>'[3]Plan Tron'!C182</f>
        <v>SINAPI</v>
      </c>
      <c r="D2004" s="612" t="str">
        <f>'[3]Plan Tron'!D182</f>
        <v>ASSENTAMENTO TUBO PVC COM JUNTA ELASTICA, DN 50 MM - (OU RPVC, OU PVC DEFOFO, OU PRFV) - PARA AGUA.</v>
      </c>
      <c r="E2004" s="49" t="str">
        <f>'[3]Plan Tron'!E182</f>
        <v>M</v>
      </c>
      <c r="F2004" s="21">
        <v>1.19</v>
      </c>
      <c r="G2004" s="21">
        <v>1.1000000000000001</v>
      </c>
      <c r="H2004" s="21">
        <f>'[3]Plan Tron'!F182</f>
        <v>1.75</v>
      </c>
      <c r="I2004" s="22">
        <v>26.44</v>
      </c>
      <c r="J2004" s="22">
        <f>ROUND(H2004*(I2004/100+1),2)</f>
        <v>2.21</v>
      </c>
      <c r="K2004" s="383">
        <v>0</v>
      </c>
      <c r="L2004" s="474">
        <f>F2004-K2004</f>
        <v>1.19</v>
      </c>
      <c r="M2004" s="471">
        <f t="shared" si="255"/>
        <v>2.63</v>
      </c>
      <c r="N2004" s="405"/>
      <c r="O2004" s="541"/>
      <c r="P2004" s="405"/>
      <c r="Q2004" s="405"/>
      <c r="S2004" s="344" t="str">
        <f t="shared" si="258"/>
        <v>ASSENTAMENTO TUBO PVC COM JUNTA ELASTICA, DN 50 MM - (OU RPVC, OU PVC DEFOFO, OU PRFV) - PARA AGUA.</v>
      </c>
    </row>
    <row r="2005" spans="1:19" s="344" customFormat="1">
      <c r="A2005" s="43"/>
      <c r="B2005" s="22"/>
      <c r="C2005" s="43"/>
      <c r="D2005" s="110"/>
      <c r="E2005" s="18"/>
      <c r="F2005" s="22"/>
      <c r="G2005" s="22"/>
      <c r="H2005" s="22"/>
      <c r="I2005" s="22"/>
      <c r="J2005" s="22"/>
      <c r="K2005" s="110"/>
      <c r="L2005" s="474"/>
      <c r="M2005" s="471"/>
      <c r="N2005" s="405"/>
      <c r="O2005" s="541"/>
      <c r="P2005" s="405"/>
      <c r="Q2005" s="405"/>
    </row>
    <row r="2006" spans="1:19" s="344" customFormat="1">
      <c r="A2006" s="43"/>
      <c r="B2006" s="22"/>
      <c r="C2006" s="43"/>
      <c r="D2006" s="396" t="s">
        <v>76</v>
      </c>
      <c r="E2006" s="18" t="s">
        <v>76</v>
      </c>
      <c r="F2006" s="22"/>
      <c r="G2006" s="22"/>
      <c r="H2006" s="22"/>
      <c r="I2006" s="22"/>
      <c r="J2006" s="22"/>
      <c r="K2006" s="383"/>
      <c r="L2006" s="474"/>
      <c r="M2006" s="471"/>
      <c r="N2006" s="405"/>
      <c r="O2006" s="541"/>
      <c r="P2006" s="405"/>
      <c r="Q2006" s="405"/>
      <c r="S2006" s="344" t="str">
        <f t="shared" ref="S2006:S2014" si="259">UPPER(D2006)</f>
        <v/>
      </c>
    </row>
    <row r="2007" spans="1:19" s="344" customFormat="1">
      <c r="A2007" s="210">
        <v>4</v>
      </c>
      <c r="B2007" s="29"/>
      <c r="C2007" s="210"/>
      <c r="D2007" s="396" t="s">
        <v>2054</v>
      </c>
      <c r="E2007" s="342" t="s">
        <v>76</v>
      </c>
      <c r="F2007" s="22"/>
      <c r="G2007" s="22"/>
      <c r="H2007" s="22"/>
      <c r="I2007" s="22"/>
      <c r="J2007" s="22"/>
      <c r="K2007" s="383"/>
      <c r="L2007" s="474"/>
      <c r="M2007" s="471"/>
      <c r="N2007" s="405"/>
      <c r="O2007" s="541"/>
      <c r="P2007" s="405"/>
      <c r="Q2007" s="405"/>
      <c r="S2007" s="344" t="str">
        <f t="shared" si="259"/>
        <v>FUNDAÇÕES E ESTRUTURAS</v>
      </c>
    </row>
    <row r="2008" spans="1:19" s="414" customFormat="1">
      <c r="A2008" s="615" t="s">
        <v>139</v>
      </c>
      <c r="B2008" s="425"/>
      <c r="C2008" s="410"/>
      <c r="D2008" s="420" t="s">
        <v>2331</v>
      </c>
      <c r="E2008" s="616" t="s">
        <v>76</v>
      </c>
      <c r="F2008" s="611"/>
      <c r="G2008" s="611"/>
      <c r="H2008" s="611"/>
      <c r="I2008" s="611"/>
      <c r="J2008" s="611"/>
      <c r="K2008" s="498"/>
      <c r="L2008" s="474"/>
      <c r="M2008" s="471"/>
      <c r="N2008" s="419"/>
      <c r="O2008" s="541"/>
      <c r="P2008" s="419"/>
      <c r="Q2008" s="419"/>
      <c r="S2008" s="414" t="str">
        <f t="shared" si="259"/>
        <v>LASTROS / FUNDAÇÕES DIVERSAS</v>
      </c>
    </row>
    <row r="2009" spans="1:19" s="344" customFormat="1">
      <c r="A2009" s="43" t="s">
        <v>138</v>
      </c>
      <c r="B2009" s="49">
        <f>'[3]Plan Tron'!B18</f>
        <v>6514</v>
      </c>
      <c r="C2009" s="49" t="str">
        <f>'[3]Plan Tron'!C18</f>
        <v>SINAPI</v>
      </c>
      <c r="D2009" s="612" t="str">
        <f>'[3]Plan Tron'!D18</f>
        <v xml:space="preserve">FORNECIMENTO E LANCAMENTO DE BRITA N. 4 </v>
      </c>
      <c r="E2009" s="49" t="str">
        <f>'[3]Plan Tron'!E18</f>
        <v>M³</v>
      </c>
      <c r="F2009" s="352">
        <v>0.02</v>
      </c>
      <c r="G2009" s="20">
        <f>G78</f>
        <v>74.28</v>
      </c>
      <c r="H2009" s="20">
        <f>'[3]Plan Tron'!F18</f>
        <v>88.38</v>
      </c>
      <c r="I2009" s="22">
        <v>26.44</v>
      </c>
      <c r="J2009" s="22">
        <f>ROUND(H2009*(I2009/100+1),2)</f>
        <v>111.75</v>
      </c>
      <c r="K2009" s="383">
        <v>0</v>
      </c>
      <c r="L2009" s="474">
        <f>F2009-K2009</f>
        <v>0.02</v>
      </c>
      <c r="M2009" s="471">
        <f t="shared" si="255"/>
        <v>2.2400000000000002</v>
      </c>
      <c r="N2009" s="405"/>
      <c r="O2009" s="541"/>
      <c r="P2009" s="405"/>
      <c r="Q2009" s="405"/>
      <c r="S2009" s="344" t="str">
        <f t="shared" si="259"/>
        <v xml:space="preserve">FORNECIMENTO E LANCAMENTO DE BRITA N. 4 </v>
      </c>
    </row>
    <row r="2010" spans="1:19" s="414" customFormat="1">
      <c r="A2010" s="615" t="s">
        <v>411</v>
      </c>
      <c r="B2010" s="425"/>
      <c r="C2010" s="410"/>
      <c r="D2010" s="420" t="s">
        <v>2061</v>
      </c>
      <c r="E2010" s="616" t="s">
        <v>76</v>
      </c>
      <c r="F2010" s="611"/>
      <c r="G2010" s="611"/>
      <c r="H2010" s="611"/>
      <c r="I2010" s="611"/>
      <c r="J2010" s="611"/>
      <c r="K2010" s="498"/>
      <c r="L2010" s="474"/>
      <c r="M2010" s="471"/>
      <c r="N2010" s="419"/>
      <c r="O2010" s="541"/>
      <c r="P2010" s="419"/>
      <c r="Q2010" s="419"/>
      <c r="S2010" s="414" t="str">
        <f t="shared" si="259"/>
        <v>CONCRETOS</v>
      </c>
    </row>
    <row r="2011" spans="1:19" s="344" customFormat="1">
      <c r="A2011" s="43" t="s">
        <v>931</v>
      </c>
      <c r="B2011" s="49">
        <f>'[3]Plan Tron'!B23</f>
        <v>110404</v>
      </c>
      <c r="C2011" s="49" t="str">
        <f>'[3]Plan Tron'!C23</f>
        <v>CPOS</v>
      </c>
      <c r="D2011" s="612" t="str">
        <f>UPPER('[3]Plan Tron'!D23)</f>
        <v>CONCRETO NÃO ESTRUTURAL EXECUTADO NO LOCAL, MÍNIMO 200 KG CIMENTO / M³</v>
      </c>
      <c r="E2011" s="49" t="str">
        <f>'[3]Plan Tron'!E23</f>
        <v>M³</v>
      </c>
      <c r="F2011" s="352">
        <v>0.02</v>
      </c>
      <c r="G2011" s="22">
        <v>238.25</v>
      </c>
      <c r="H2011" s="22">
        <f>'[3]Plan Tron'!F23</f>
        <v>231.91</v>
      </c>
      <c r="I2011" s="22">
        <v>26.44</v>
      </c>
      <c r="J2011" s="22">
        <f>ROUND(H2011*(I2011/100+1),2)</f>
        <v>293.23</v>
      </c>
      <c r="K2011" s="383">
        <v>0</v>
      </c>
      <c r="L2011" s="474">
        <f>F2011-K2011</f>
        <v>0.02</v>
      </c>
      <c r="M2011" s="471">
        <f t="shared" si="255"/>
        <v>5.86</v>
      </c>
      <c r="N2011" s="405"/>
      <c r="O2011" s="541"/>
      <c r="P2011" s="405"/>
      <c r="Q2011" s="405"/>
      <c r="S2011" s="344" t="str">
        <f t="shared" si="259"/>
        <v>CONCRETO NÃO ESTRUTURAL EXECUTADO NO LOCAL, MÍNIMO 200 KG CIMENTO / M³</v>
      </c>
    </row>
    <row r="2012" spans="1:19" s="344" customFormat="1">
      <c r="A2012" s="18" t="s">
        <v>930</v>
      </c>
      <c r="B2012" s="49">
        <f>'[3]Plan Tron'!B27</f>
        <v>110132</v>
      </c>
      <c r="C2012" s="49" t="str">
        <f>'[3]Plan Tron'!C27</f>
        <v>CPOS</v>
      </c>
      <c r="D2012" s="612" t="str">
        <f>'[3]Plan Tron'!D27</f>
        <v xml:space="preserve">CONCRETO USINADO, FCK=30MPa - PARA BOMBEAMENTO </v>
      </c>
      <c r="E2012" s="49" t="str">
        <f>'[3]Plan Tron'!E27</f>
        <v>M³</v>
      </c>
      <c r="F2012" s="352">
        <v>0.13</v>
      </c>
      <c r="G2012" s="22">
        <v>336.65</v>
      </c>
      <c r="H2012" s="22">
        <f>'[3]Plan Tron'!F27</f>
        <v>311.94</v>
      </c>
      <c r="I2012" s="22">
        <v>26.44</v>
      </c>
      <c r="J2012" s="22">
        <f t="shared" ref="J2012:J2014" si="260">ROUND(H2012*(I2012/100+1),2)</f>
        <v>394.42</v>
      </c>
      <c r="K2012" s="383">
        <v>0</v>
      </c>
      <c r="L2012" s="474">
        <f>F2012-K2012</f>
        <v>0.13</v>
      </c>
      <c r="M2012" s="471">
        <f t="shared" si="255"/>
        <v>51.27</v>
      </c>
      <c r="N2012" s="405"/>
      <c r="O2012" s="541"/>
      <c r="P2012" s="405"/>
      <c r="Q2012" s="405"/>
      <c r="S2012" s="344" t="str">
        <f t="shared" si="259"/>
        <v xml:space="preserve">CONCRETO USINADO, FCK=30MPA - PARA BOMBEAMENTO </v>
      </c>
    </row>
    <row r="2013" spans="1:19" s="414" customFormat="1">
      <c r="A2013" s="615" t="s">
        <v>410</v>
      </c>
      <c r="B2013" s="425"/>
      <c r="C2013" s="410"/>
      <c r="D2013" s="420" t="s">
        <v>2114</v>
      </c>
      <c r="E2013" s="616" t="s">
        <v>76</v>
      </c>
      <c r="F2013" s="611"/>
      <c r="G2013" s="611"/>
      <c r="H2013" s="611"/>
      <c r="I2013" s="611"/>
      <c r="J2013" s="22"/>
      <c r="K2013" s="498"/>
      <c r="L2013" s="474"/>
      <c r="M2013" s="471"/>
      <c r="N2013" s="419"/>
      <c r="O2013" s="541"/>
      <c r="P2013" s="419"/>
      <c r="Q2013" s="419"/>
      <c r="S2013" s="414" t="str">
        <f t="shared" si="259"/>
        <v>FORMAS/CIMBRAMENTOS/ESCORAMENTOS</v>
      </c>
    </row>
    <row r="2014" spans="1:19" s="344" customFormat="1">
      <c r="A2014" s="43" t="s">
        <v>928</v>
      </c>
      <c r="B2014" s="49">
        <f>'[3]Plan Tron'!B20</f>
        <v>5651</v>
      </c>
      <c r="C2014" s="49" t="str">
        <f>'[3]Plan Tron'!C20</f>
        <v>SINAPI</v>
      </c>
      <c r="D2014" s="612" t="str">
        <f>'[3]Plan Tron'!D20</f>
        <v>FORMA DE MADEIRA COMUM PARA FUNDAÇÕES - REAPROVEITAMENTO 5X.</v>
      </c>
      <c r="E2014" s="49" t="str">
        <f>'[3]Plan Tron'!E20</f>
        <v>M²</v>
      </c>
      <c r="F2014" s="352">
        <v>1.33</v>
      </c>
      <c r="G2014" s="22">
        <v>22.96</v>
      </c>
      <c r="H2014" s="22">
        <f>'[3]Plan Tron'!F20</f>
        <v>29.01</v>
      </c>
      <c r="I2014" s="22">
        <v>26.44</v>
      </c>
      <c r="J2014" s="22">
        <f t="shared" si="260"/>
        <v>36.68</v>
      </c>
      <c r="K2014" s="383">
        <v>0</v>
      </c>
      <c r="L2014" s="474">
        <f>F2014-K2014</f>
        <v>1.33</v>
      </c>
      <c r="M2014" s="471">
        <f t="shared" si="255"/>
        <v>48.78</v>
      </c>
      <c r="N2014" s="405"/>
      <c r="O2014" s="541"/>
      <c r="P2014" s="405"/>
      <c r="Q2014" s="405"/>
      <c r="S2014" s="344" t="str">
        <f t="shared" si="259"/>
        <v>FORMA DE MADEIRA COMUM PARA FUNDAÇÕES - REAPROVEITAMENTO 5X.</v>
      </c>
    </row>
    <row r="2015" spans="1:19" s="344" customFormat="1">
      <c r="A2015" s="43"/>
      <c r="B2015" s="29"/>
      <c r="C2015" s="43"/>
      <c r="D2015" s="110"/>
      <c r="E2015" s="342"/>
      <c r="F2015" s="22"/>
      <c r="G2015" s="22"/>
      <c r="H2015" s="22"/>
      <c r="I2015" s="22"/>
      <c r="J2015" s="22"/>
      <c r="K2015" s="110"/>
      <c r="L2015" s="474"/>
      <c r="M2015" s="471"/>
      <c r="N2015" s="405"/>
      <c r="O2015" s="541"/>
      <c r="P2015" s="405"/>
      <c r="Q2015" s="405"/>
    </row>
    <row r="2016" spans="1:19" s="344" customFormat="1">
      <c r="A2016" s="43"/>
      <c r="B2016" s="29"/>
      <c r="C2016" s="43"/>
      <c r="D2016" s="35" t="s">
        <v>76</v>
      </c>
      <c r="E2016" s="342" t="s">
        <v>76</v>
      </c>
      <c r="F2016" s="22"/>
      <c r="G2016" s="22"/>
      <c r="H2016" s="22"/>
      <c r="I2016" s="22"/>
      <c r="J2016" s="22"/>
      <c r="K2016" s="383"/>
      <c r="L2016" s="474"/>
      <c r="M2016" s="471"/>
      <c r="N2016" s="405"/>
      <c r="O2016" s="541"/>
      <c r="P2016" s="405"/>
      <c r="Q2016" s="405"/>
      <c r="S2016" s="344" t="str">
        <f>UPPER(D2016)</f>
        <v/>
      </c>
    </row>
    <row r="2017" spans="1:37" s="344" customFormat="1">
      <c r="A2017" s="210">
        <v>5</v>
      </c>
      <c r="B2017" s="29"/>
      <c r="C2017" s="210"/>
      <c r="D2017" s="180" t="s">
        <v>2247</v>
      </c>
      <c r="E2017" s="342" t="s">
        <v>76</v>
      </c>
      <c r="F2017" s="22"/>
      <c r="G2017" s="22"/>
      <c r="H2017" s="22"/>
      <c r="I2017" s="22"/>
      <c r="J2017" s="22"/>
      <c r="K2017" s="383"/>
      <c r="L2017" s="474"/>
      <c r="M2017" s="471"/>
      <c r="N2017" s="405"/>
      <c r="O2017" s="541"/>
      <c r="P2017" s="405"/>
      <c r="Q2017" s="405"/>
      <c r="S2017" s="344" t="str">
        <f>UPPER(D2017)</f>
        <v>REVESTIMENTO E TRATAMENTO DE SUPERFÍCIE/ IMPERMEABILIZAÇÕES</v>
      </c>
    </row>
    <row r="2018" spans="1:37" s="414" customFormat="1" ht="25.5">
      <c r="A2018" s="410" t="s">
        <v>136</v>
      </c>
      <c r="B2018" s="411"/>
      <c r="C2018" s="410"/>
      <c r="D2018" s="429" t="s">
        <v>2318</v>
      </c>
      <c r="E2018" s="617" t="s">
        <v>76</v>
      </c>
      <c r="F2018" s="618"/>
      <c r="G2018" s="412"/>
      <c r="H2018" s="412"/>
      <c r="I2018" s="619"/>
      <c r="J2018" s="619"/>
      <c r="K2018" s="498"/>
      <c r="L2018" s="476"/>
      <c r="M2018" s="471"/>
      <c r="N2018" s="419"/>
      <c r="O2018" s="620"/>
      <c r="P2018" s="419"/>
      <c r="Q2018" s="419"/>
      <c r="S2018" s="414" t="str">
        <f>UPPER(D2018)</f>
        <v>IMPERMEABILIZAÇÃO DE FUNDAÇÕES/ BALDRAMES/ MUROS DE ARRIMO / ALICERCES E REVESTIMENTO EM CONTATO COM SOLO - UTILIZAÇÃO DE TINTA BETUMINOSA TIPO NEUTROLIN / 2 DEMÃOS.</v>
      </c>
    </row>
    <row r="2019" spans="1:37" s="344" customFormat="1" ht="14.25" customHeight="1">
      <c r="A2019" s="49" t="s">
        <v>135</v>
      </c>
      <c r="B2019" s="49" t="str">
        <f>'[3]Plan Tron'!B71</f>
        <v>74106/001</v>
      </c>
      <c r="C2019" s="49" t="str">
        <f>'[3]Plan Tron'!C71</f>
        <v>SINAPI</v>
      </c>
      <c r="D2019" s="612" t="str">
        <f>'[3]Plan Tron'!D71</f>
        <v>IMPERMEABILIZACAO DE ESTRUTURAS ENTERRADAS,COM TINTA ASFALTICA, DUAS DEMÃOS.</v>
      </c>
      <c r="E2019" s="49" t="str">
        <f>'[3]Plan Tron'!E71</f>
        <v>M²</v>
      </c>
      <c r="F2019" s="8">
        <v>1.66</v>
      </c>
      <c r="G2019" s="9">
        <v>6.65</v>
      </c>
      <c r="H2019" s="9">
        <f>'[3]Plan Tron'!F71</f>
        <v>9.2899999999999991</v>
      </c>
      <c r="I2019" s="27">
        <v>26.44</v>
      </c>
      <c r="J2019" s="27">
        <f>ROUND(H2019*(I2019/100+1),2)</f>
        <v>11.75</v>
      </c>
      <c r="K2019" s="383">
        <v>0</v>
      </c>
      <c r="L2019" s="474">
        <f>F2019-K2019</f>
        <v>1.66</v>
      </c>
      <c r="M2019" s="471">
        <f t="shared" si="255"/>
        <v>19.510000000000002</v>
      </c>
      <c r="N2019" s="405"/>
      <c r="O2019" s="541"/>
      <c r="P2019" s="405"/>
      <c r="Q2019" s="405"/>
      <c r="S2019" s="344" t="str">
        <f>UPPER(D2019)</f>
        <v>IMPERMEABILIZACAO DE ESTRUTURAS ENTERRADAS,COM TINTA ASFALTICA, DUAS DEMÃOS.</v>
      </c>
    </row>
    <row r="2020" spans="1:37">
      <c r="A2020" s="85"/>
      <c r="B2020" s="190"/>
      <c r="C2020" s="85"/>
      <c r="D2020" s="467"/>
      <c r="E2020" s="190"/>
      <c r="F2020" s="187"/>
      <c r="G2020" s="304"/>
      <c r="H2020" s="22"/>
      <c r="I2020" s="187"/>
      <c r="J2020" s="187"/>
      <c r="K2020" s="467"/>
      <c r="L2020" s="383"/>
      <c r="M2020" s="472"/>
      <c r="N2020" s="407"/>
      <c r="O2020" s="541"/>
      <c r="P2020" s="407"/>
      <c r="Q2020" s="407"/>
    </row>
    <row r="2021" spans="1:37" s="299" customFormat="1">
      <c r="A2021" s="297"/>
      <c r="B2021" s="298"/>
      <c r="C2021" s="298"/>
      <c r="D2021" s="341"/>
      <c r="E2021" s="298"/>
      <c r="F2021" s="298"/>
      <c r="G2021" s="301"/>
      <c r="H2021" s="338"/>
      <c r="I2021" s="298"/>
      <c r="J2021" s="298"/>
      <c r="K2021" s="341"/>
      <c r="L2021" s="341"/>
      <c r="M2021" s="300"/>
      <c r="N2021" s="406"/>
      <c r="O2021" s="541"/>
      <c r="P2021" s="406"/>
      <c r="Q2021" s="406"/>
      <c r="R2021" s="388"/>
      <c r="S2021" s="344" t="str">
        <f>UPPER(D2021)</f>
        <v/>
      </c>
      <c r="T2021" s="388"/>
      <c r="U2021" s="388"/>
      <c r="V2021" s="388"/>
      <c r="W2021" s="388"/>
      <c r="X2021" s="388"/>
      <c r="Y2021" s="388"/>
      <c r="Z2021" s="388"/>
      <c r="AA2021" s="388"/>
      <c r="AB2021" s="388"/>
      <c r="AC2021" s="388"/>
      <c r="AD2021" s="388"/>
      <c r="AE2021" s="388"/>
      <c r="AF2021" s="388"/>
      <c r="AG2021" s="388"/>
      <c r="AH2021" s="388"/>
      <c r="AI2021" s="388"/>
      <c r="AJ2021" s="388"/>
      <c r="AK2021" s="388"/>
    </row>
    <row r="2022" spans="1:37" s="535" customFormat="1">
      <c r="A2022" s="531"/>
      <c r="B2022" s="532"/>
      <c r="C2022" s="532"/>
      <c r="D2022" s="511" t="s">
        <v>2384</v>
      </c>
      <c r="E2022" s="532"/>
      <c r="F2022" s="532"/>
      <c r="G2022" s="533"/>
      <c r="H2022" s="782"/>
      <c r="I2022" s="532"/>
      <c r="J2022" s="532"/>
      <c r="K2022" s="511"/>
      <c r="L2022" s="506"/>
      <c r="M2022" s="536">
        <f>SUM(M1973:M2019)</f>
        <v>23578.81</v>
      </c>
      <c r="N2022" s="537"/>
      <c r="O2022" s="541"/>
      <c r="P2022" s="537"/>
      <c r="Q2022" s="537"/>
      <c r="R2022" s="534"/>
      <c r="S2022" s="414"/>
      <c r="T2022" s="534"/>
      <c r="U2022" s="534"/>
      <c r="V2022" s="534"/>
      <c r="W2022" s="534"/>
      <c r="X2022" s="534"/>
      <c r="Y2022" s="534"/>
      <c r="Z2022" s="534"/>
      <c r="AA2022" s="534"/>
      <c r="AB2022" s="534"/>
      <c r="AC2022" s="534"/>
      <c r="AD2022" s="534"/>
      <c r="AE2022" s="534"/>
      <c r="AF2022" s="534"/>
      <c r="AG2022" s="534"/>
      <c r="AH2022" s="534"/>
      <c r="AI2022" s="534"/>
      <c r="AJ2022" s="534"/>
      <c r="AK2022" s="534"/>
    </row>
    <row r="2023" spans="1:37" s="299" customFormat="1">
      <c r="A2023" s="297"/>
      <c r="B2023" s="298"/>
      <c r="C2023" s="298"/>
      <c r="D2023" s="462"/>
      <c r="E2023" s="298"/>
      <c r="F2023" s="298"/>
      <c r="G2023" s="301"/>
      <c r="H2023" s="338"/>
      <c r="I2023" s="298"/>
      <c r="J2023" s="298"/>
      <c r="K2023" s="341"/>
      <c r="L2023" s="341"/>
      <c r="M2023" s="300"/>
      <c r="N2023" s="406"/>
      <c r="O2023" s="541"/>
      <c r="P2023" s="406"/>
      <c r="Q2023" s="406"/>
      <c r="R2023" s="388"/>
      <c r="S2023" s="344"/>
      <c r="T2023" s="388"/>
      <c r="U2023" s="388"/>
      <c r="V2023" s="388"/>
      <c r="W2023" s="388"/>
      <c r="X2023" s="388"/>
      <c r="Y2023" s="388"/>
      <c r="Z2023" s="388"/>
      <c r="AA2023" s="388"/>
      <c r="AB2023" s="388"/>
      <c r="AC2023" s="388"/>
      <c r="AD2023" s="388"/>
      <c r="AE2023" s="388"/>
      <c r="AF2023" s="388"/>
      <c r="AG2023" s="388"/>
      <c r="AH2023" s="388"/>
      <c r="AI2023" s="388"/>
      <c r="AJ2023" s="388"/>
      <c r="AK2023" s="388"/>
    </row>
    <row r="2024" spans="1:37">
      <c r="A2024" s="370"/>
      <c r="B2024" s="369"/>
      <c r="C2024" s="368"/>
      <c r="D2024" s="468" t="s">
        <v>21</v>
      </c>
      <c r="E2024" s="369"/>
      <c r="F2024" s="369"/>
      <c r="G2024" s="369"/>
      <c r="H2024" s="369"/>
      <c r="I2024" s="369"/>
      <c r="J2024" s="369"/>
      <c r="K2024" s="501"/>
      <c r="L2024" s="477"/>
      <c r="M2024" s="477">
        <f>SUM(M11:M2022)/2</f>
        <v>6517321.9500000002</v>
      </c>
      <c r="N2024" s="408"/>
      <c r="O2024" s="1047"/>
      <c r="P2024" s="1048"/>
      <c r="Q2024" s="408"/>
      <c r="S2024" s="344" t="str">
        <f>UPPER(D2024)</f>
        <v>TOTAL - OBRAS CIVIS E SERVIÇOS</v>
      </c>
    </row>
    <row r="2025" spans="1:37">
      <c r="A2025" s="542"/>
      <c r="B2025" s="318"/>
      <c r="C2025" s="318"/>
      <c r="D2025" s="543"/>
      <c r="E2025" s="318"/>
      <c r="F2025" s="318"/>
      <c r="G2025" s="318"/>
      <c r="H2025" s="344"/>
      <c r="I2025" s="318"/>
      <c r="J2025" s="318"/>
      <c r="K2025" s="544"/>
      <c r="L2025" s="544"/>
      <c r="M2025" s="544"/>
      <c r="O2025" s="541"/>
    </row>
    <row r="2026" spans="1:37" s="554" customFormat="1" ht="25.5">
      <c r="A2026" s="585"/>
      <c r="B2026" s="586"/>
      <c r="C2026" s="587" t="s">
        <v>2399</v>
      </c>
      <c r="D2026" s="588" t="s">
        <v>2386</v>
      </c>
      <c r="E2026" s="589" t="s">
        <v>2400</v>
      </c>
      <c r="F2026" s="590"/>
      <c r="G2026" s="609"/>
      <c r="H2026" s="787"/>
      <c r="I2026" s="591"/>
      <c r="J2026" s="580"/>
      <c r="K2026" s="581"/>
      <c r="L2026" s="581"/>
      <c r="M2026" s="551"/>
    </row>
    <row r="2027" spans="1:37" s="554" customFormat="1" ht="16.5" customHeight="1">
      <c r="A2027" s="585"/>
      <c r="B2027" s="586"/>
      <c r="C2027" s="587" t="s">
        <v>2015</v>
      </c>
      <c r="D2027" s="592" t="s">
        <v>2401</v>
      </c>
      <c r="E2027" s="598">
        <v>42767</v>
      </c>
      <c r="F2027" s="590"/>
      <c r="G2027" s="609"/>
      <c r="H2027" s="609"/>
      <c r="I2027" s="591"/>
      <c r="J2027" s="580"/>
      <c r="K2027" s="581"/>
      <c r="L2027" s="581"/>
      <c r="M2027" s="551"/>
    </row>
    <row r="2028" spans="1:37" s="554" customFormat="1">
      <c r="A2028" s="585"/>
      <c r="B2028" s="586"/>
      <c r="C2028" s="593" t="s">
        <v>2402</v>
      </c>
      <c r="D2028" s="594" t="s">
        <v>2459</v>
      </c>
      <c r="E2028" s="598">
        <v>42795</v>
      </c>
      <c r="F2028" s="590"/>
      <c r="G2028" s="609"/>
      <c r="H2028" s="609"/>
      <c r="I2028" s="591"/>
      <c r="J2028" s="580"/>
      <c r="K2028" s="581"/>
      <c r="L2028" s="581"/>
      <c r="M2028" s="551"/>
    </row>
    <row r="2029" spans="1:37" s="554" customFormat="1">
      <c r="A2029" s="585"/>
      <c r="B2029" s="586"/>
      <c r="C2029" s="593" t="s">
        <v>2460</v>
      </c>
      <c r="D2029" s="594" t="s">
        <v>2461</v>
      </c>
      <c r="E2029" s="598">
        <v>42767</v>
      </c>
      <c r="F2029" s="1036"/>
      <c r="G2029" s="1037"/>
      <c r="H2029" s="1037"/>
      <c r="I2029" s="1037"/>
      <c r="J2029" s="580"/>
      <c r="K2029" s="581"/>
      <c r="L2029" s="581"/>
      <c r="M2029" s="551"/>
    </row>
    <row r="2030" spans="1:37" s="554" customFormat="1" ht="14.25" customHeight="1">
      <c r="A2030" s="585"/>
      <c r="B2030" s="586"/>
      <c r="C2030" s="596"/>
      <c r="D2030" s="597"/>
      <c r="E2030" s="595"/>
      <c r="F2030" s="1038"/>
      <c r="G2030" s="1039"/>
      <c r="H2030" s="1039"/>
      <c r="I2030" s="1039"/>
      <c r="J2030" s="580"/>
      <c r="K2030" s="581"/>
      <c r="L2030" s="581"/>
      <c r="M2030" s="551"/>
    </row>
    <row r="2031" spans="1:37" s="554" customFormat="1" ht="15">
      <c r="A2031" s="585"/>
      <c r="B2031" s="586"/>
      <c r="C2031" s="596"/>
      <c r="D2031" s="597"/>
      <c r="E2031" s="595"/>
      <c r="F2031" s="1040"/>
      <c r="G2031" s="1041"/>
      <c r="H2031" s="1041"/>
      <c r="I2031" s="1041"/>
      <c r="J2031" s="580"/>
      <c r="K2031" s="581"/>
      <c r="L2031" s="581"/>
      <c r="M2031" s="551"/>
    </row>
    <row r="2032" spans="1:37" s="554" customFormat="1">
      <c r="A2032" s="585"/>
      <c r="B2032" s="586"/>
      <c r="C2032" s="593"/>
      <c r="D2032" s="594"/>
      <c r="E2032" s="595"/>
      <c r="F2032" s="1042"/>
      <c r="G2032" s="1042"/>
      <c r="H2032" s="1042"/>
      <c r="I2032" s="1042"/>
      <c r="J2032" s="580"/>
      <c r="K2032" s="581"/>
      <c r="L2032" s="581"/>
      <c r="M2032" s="551"/>
    </row>
    <row r="2033" spans="1:19" s="554" customFormat="1">
      <c r="A2033" s="585"/>
      <c r="B2033" s="586"/>
      <c r="C2033" s="593"/>
      <c r="D2033" s="594"/>
      <c r="E2033" s="595"/>
      <c r="F2033" s="1042"/>
      <c r="G2033" s="1042"/>
      <c r="H2033" s="1042"/>
      <c r="I2033" s="1042"/>
      <c r="J2033" s="580"/>
      <c r="K2033" s="581"/>
      <c r="L2033" s="581"/>
      <c r="M2033" s="551"/>
    </row>
    <row r="2034" spans="1:19">
      <c r="A2034" s="542"/>
      <c r="B2034" s="318"/>
      <c r="C2034" s="318"/>
      <c r="D2034" s="546"/>
      <c r="E2034" s="318"/>
      <c r="F2034" s="544"/>
      <c r="G2034" s="544"/>
      <c r="H2034" s="544"/>
      <c r="I2034" s="547"/>
      <c r="J2034" s="544"/>
      <c r="K2034" s="544"/>
      <c r="L2034" s="544"/>
      <c r="M2034" s="544"/>
      <c r="O2034" s="541"/>
      <c r="S2034" s="392"/>
    </row>
    <row r="2035" spans="1:19">
      <c r="A2035" s="542"/>
      <c r="B2035" s="318"/>
      <c r="C2035" s="318"/>
      <c r="D2035" s="546"/>
      <c r="E2035" s="318"/>
      <c r="F2035" s="544"/>
      <c r="G2035" s="544"/>
      <c r="H2035" s="544"/>
      <c r="I2035" s="547"/>
      <c r="J2035" s="544"/>
      <c r="K2035" s="544"/>
      <c r="L2035" s="544"/>
      <c r="M2035" s="544"/>
      <c r="O2035" s="541"/>
      <c r="S2035" s="392"/>
    </row>
    <row r="2036" spans="1:19">
      <c r="A2036" s="542"/>
      <c r="B2036" s="318"/>
      <c r="C2036" s="318"/>
      <c r="D2036" s="545"/>
      <c r="E2036" s="318"/>
      <c r="F2036" s="318"/>
      <c r="G2036" s="318"/>
      <c r="H2036" s="318"/>
      <c r="I2036" s="318"/>
      <c r="J2036" s="318"/>
      <c r="K2036" s="548"/>
      <c r="L2036" s="548"/>
      <c r="M2036" s="548"/>
      <c r="N2036" s="385"/>
      <c r="O2036" s="541"/>
      <c r="P2036" s="385"/>
      <c r="Q2036" s="385"/>
    </row>
    <row r="2037" spans="1:19">
      <c r="A2037" s="542"/>
      <c r="B2037" s="318"/>
      <c r="C2037" s="318"/>
      <c r="D2037" s="543"/>
      <c r="E2037" s="318"/>
      <c r="F2037" s="318"/>
      <c r="G2037" s="318"/>
      <c r="H2037" s="318"/>
      <c r="I2037" s="318"/>
      <c r="J2037" s="318"/>
      <c r="K2037" s="89"/>
      <c r="L2037" s="89"/>
      <c r="M2037" s="89"/>
      <c r="N2037" s="306"/>
      <c r="O2037" s="541"/>
      <c r="P2037" s="306"/>
      <c r="Q2037" s="306"/>
    </row>
    <row r="2038" spans="1:19">
      <c r="A2038" s="542"/>
      <c r="B2038" s="318"/>
      <c r="C2038" s="318"/>
      <c r="D2038" s="543"/>
      <c r="E2038" s="318"/>
      <c r="F2038" s="318"/>
      <c r="G2038" s="318"/>
      <c r="H2038" s="318"/>
      <c r="I2038" s="318"/>
      <c r="J2038" s="318"/>
      <c r="K2038" s="89"/>
      <c r="L2038" s="89"/>
      <c r="M2038" s="89"/>
      <c r="N2038" s="521"/>
      <c r="O2038" s="541"/>
      <c r="P2038" s="521"/>
      <c r="Q2038" s="521"/>
    </row>
    <row r="2039" spans="1:19">
      <c r="A2039" s="542"/>
      <c r="B2039" s="318"/>
      <c r="C2039" s="318"/>
      <c r="D2039" s="543"/>
      <c r="E2039" s="318"/>
      <c r="F2039" s="318"/>
      <c r="G2039" s="318"/>
      <c r="H2039" s="318"/>
      <c r="I2039" s="318"/>
      <c r="J2039" s="318"/>
      <c r="K2039" s="89"/>
      <c r="L2039" s="89"/>
      <c r="M2039" s="89"/>
      <c r="N2039" s="521"/>
      <c r="O2039" s="541"/>
      <c r="P2039" s="521"/>
      <c r="Q2039" s="521"/>
    </row>
    <row r="2040" spans="1:19">
      <c r="A2040" s="542"/>
      <c r="B2040" s="318"/>
      <c r="C2040" s="318"/>
      <c r="D2040" s="543"/>
      <c r="E2040" s="318"/>
      <c r="F2040" s="318"/>
      <c r="G2040" s="318"/>
      <c r="H2040" s="318"/>
      <c r="I2040" s="318"/>
      <c r="J2040" s="318"/>
      <c r="K2040" s="582"/>
      <c r="L2040" s="548"/>
      <c r="M2040" s="582"/>
      <c r="N2040" s="521"/>
      <c r="O2040" s="541"/>
      <c r="P2040" s="521"/>
      <c r="Q2040" s="521"/>
    </row>
    <row r="2041" spans="1:19" s="554" customFormat="1" ht="15.75">
      <c r="A2041" s="549"/>
      <c r="B2041" s="550"/>
      <c r="C2041" s="551"/>
      <c r="D2041" s="552" t="s">
        <v>2387</v>
      </c>
      <c r="E2041" s="553"/>
      <c r="F2041" s="552"/>
      <c r="G2041" s="552"/>
      <c r="H2041" s="783"/>
      <c r="I2041" s="552"/>
      <c r="J2041" s="580"/>
      <c r="K2041" s="583"/>
      <c r="L2041" s="583"/>
      <c r="M2041" s="584"/>
    </row>
    <row r="2042" spans="1:19" s="554" customFormat="1" ht="15">
      <c r="A2042" s="549"/>
      <c r="B2042" s="550"/>
      <c r="C2042" s="551"/>
      <c r="D2042" s="555" t="s">
        <v>2388</v>
      </c>
      <c r="E2042" s="556"/>
      <c r="F2042" s="557"/>
      <c r="G2042" s="557"/>
      <c r="H2042" s="557"/>
      <c r="I2042" s="558">
        <v>0.03</v>
      </c>
      <c r="J2042" s="580"/>
      <c r="K2042" s="581"/>
      <c r="L2042" s="581"/>
      <c r="M2042" s="551"/>
    </row>
    <row r="2043" spans="1:19" s="554" customFormat="1" ht="15">
      <c r="A2043" s="549"/>
      <c r="B2043" s="550"/>
      <c r="C2043" s="551"/>
      <c r="D2043" s="555" t="s">
        <v>2389</v>
      </c>
      <c r="E2043" s="556"/>
      <c r="F2043" s="557"/>
      <c r="G2043" s="557"/>
      <c r="H2043" s="557"/>
      <c r="I2043" s="558">
        <v>5.0000000000000001E-3</v>
      </c>
      <c r="J2043" s="580"/>
      <c r="K2043" s="581"/>
      <c r="L2043" s="1038"/>
      <c r="M2043" s="1039"/>
      <c r="N2043" s="1039"/>
    </row>
    <row r="2044" spans="1:19" s="554" customFormat="1" ht="15">
      <c r="A2044" s="549"/>
      <c r="B2044" s="550"/>
      <c r="C2044" s="551"/>
      <c r="D2044" s="555" t="s">
        <v>2390</v>
      </c>
      <c r="E2044" s="556"/>
      <c r="F2044" s="557"/>
      <c r="G2044" s="557"/>
      <c r="H2044" s="557"/>
      <c r="I2044" s="558">
        <v>1.0999999999999999E-2</v>
      </c>
      <c r="J2044" s="580"/>
      <c r="K2044" s="581"/>
      <c r="L2044" s="1040"/>
      <c r="M2044" s="1041"/>
      <c r="N2044" s="1041"/>
    </row>
    <row r="2045" spans="1:19" s="554" customFormat="1" ht="15">
      <c r="A2045" s="549"/>
      <c r="B2045" s="550"/>
      <c r="C2045" s="551"/>
      <c r="D2045" s="555" t="s">
        <v>2391</v>
      </c>
      <c r="E2045" s="556"/>
      <c r="F2045" s="557"/>
      <c r="G2045" s="557"/>
      <c r="H2045" s="557"/>
      <c r="I2045" s="558">
        <v>9.4000000000000004E-3</v>
      </c>
      <c r="J2045" s="580"/>
      <c r="K2045" s="581"/>
      <c r="L2045" s="1042"/>
      <c r="M2045" s="1042"/>
      <c r="N2045" s="1042"/>
    </row>
    <row r="2046" spans="1:19" s="554" customFormat="1" ht="15">
      <c r="A2046" s="549"/>
      <c r="B2046" s="550"/>
      <c r="C2046" s="551"/>
      <c r="D2046" s="555" t="s">
        <v>2392</v>
      </c>
      <c r="E2046" s="556"/>
      <c r="F2046" s="557"/>
      <c r="G2046" s="557"/>
      <c r="H2046" s="557"/>
      <c r="I2046" s="558">
        <v>4.0099999999999997E-2</v>
      </c>
      <c r="J2046" s="580"/>
      <c r="K2046" s="581"/>
      <c r="L2046" s="581"/>
      <c r="M2046" s="551"/>
    </row>
    <row r="2047" spans="1:19" s="554" customFormat="1" ht="15">
      <c r="A2047" s="549"/>
      <c r="B2047" s="550"/>
      <c r="C2047" s="551"/>
      <c r="D2047" s="1050" t="s">
        <v>2393</v>
      </c>
      <c r="E2047" s="1051"/>
      <c r="F2047" s="1051"/>
      <c r="G2047" s="1051"/>
      <c r="H2047" s="607"/>
      <c r="I2047" s="558">
        <v>3.6499999999999998E-2</v>
      </c>
      <c r="J2047" s="580"/>
      <c r="K2047" s="581"/>
      <c r="L2047" s="581"/>
      <c r="M2047" s="551"/>
    </row>
    <row r="2048" spans="1:19" s="554" customFormat="1" ht="15">
      <c r="A2048" s="549"/>
      <c r="B2048" s="550"/>
      <c r="C2048" s="551"/>
      <c r="D2048" s="1050" t="s">
        <v>2394</v>
      </c>
      <c r="E2048" s="1051"/>
      <c r="F2048" s="1051"/>
      <c r="G2048" s="1051"/>
      <c r="H2048" s="607"/>
      <c r="I2048" s="558">
        <v>0.05</v>
      </c>
      <c r="J2048" s="580"/>
      <c r="K2048" s="581"/>
      <c r="L2048" s="581"/>
      <c r="M2048" s="551"/>
    </row>
    <row r="2049" spans="1:13" s="554" customFormat="1" ht="15">
      <c r="A2049" s="549"/>
      <c r="B2049" s="550"/>
      <c r="C2049" s="551"/>
      <c r="D2049" s="1052" t="s">
        <v>2395</v>
      </c>
      <c r="E2049" s="1052"/>
      <c r="F2049" s="1052"/>
      <c r="G2049" s="1052"/>
      <c r="H2049" s="608"/>
      <c r="I2049" s="558">
        <v>4.4999999999999998E-2</v>
      </c>
      <c r="J2049" s="580"/>
      <c r="K2049" s="581"/>
      <c r="L2049" s="581"/>
      <c r="M2049" s="551"/>
    </row>
    <row r="2050" spans="1:13" s="554" customFormat="1" ht="15">
      <c r="A2050" s="549"/>
      <c r="B2050" s="550"/>
      <c r="C2050" s="551"/>
      <c r="D2050" s="559"/>
      <c r="E2050" s="560"/>
      <c r="F2050" s="559"/>
      <c r="G2050" s="559"/>
      <c r="H2050" s="784"/>
      <c r="I2050" s="561"/>
      <c r="J2050" s="580"/>
      <c r="K2050" s="581"/>
      <c r="L2050" s="581"/>
      <c r="M2050" s="551"/>
    </row>
    <row r="2051" spans="1:13" s="554" customFormat="1" ht="15.75">
      <c r="A2051" s="549"/>
      <c r="B2051" s="550"/>
      <c r="C2051" s="551"/>
      <c r="D2051" s="1043" t="s">
        <v>2396</v>
      </c>
      <c r="E2051" s="1043"/>
      <c r="F2051" s="1043"/>
      <c r="G2051" s="1043"/>
      <c r="H2051" s="785"/>
      <c r="I2051" s="562">
        <v>0.251</v>
      </c>
      <c r="J2051" s="580"/>
      <c r="K2051" s="581"/>
      <c r="L2051" s="581"/>
      <c r="M2051" s="551"/>
    </row>
    <row r="2052" spans="1:13" s="554" customFormat="1" ht="15.75">
      <c r="A2052" s="549"/>
      <c r="B2052" s="563"/>
      <c r="C2052" s="564"/>
      <c r="D2052" s="1044" t="s">
        <v>2397</v>
      </c>
      <c r="E2052" s="1044"/>
      <c r="F2052" s="1044"/>
      <c r="G2052" s="1044"/>
      <c r="H2052" s="786"/>
      <c r="I2052" s="565">
        <f>((1+I2042+I2043+I2044)*(1+I2045)*(1+I2046))/(1-I2047-I2048-I2049)-1</f>
        <v>0.26444591737478418</v>
      </c>
      <c r="J2052" s="580"/>
      <c r="K2052" s="581"/>
      <c r="L2052" s="581"/>
      <c r="M2052" s="551"/>
    </row>
    <row r="2053" spans="1:13" s="554" customFormat="1" ht="15.75">
      <c r="A2053" s="549"/>
      <c r="B2053" s="563"/>
      <c r="C2053" s="564"/>
      <c r="D2053" s="1045"/>
      <c r="E2053" s="1045"/>
      <c r="F2053" s="566"/>
      <c r="G2053" s="567"/>
      <c r="H2053" s="567"/>
      <c r="I2053" s="568"/>
      <c r="J2053" s="580"/>
      <c r="K2053" s="581"/>
      <c r="L2053" s="581"/>
      <c r="M2053" s="551"/>
    </row>
    <row r="2054" spans="1:13" s="554" customFormat="1" ht="15.75">
      <c r="A2054" s="549"/>
      <c r="B2054" s="550"/>
      <c r="C2054" s="569"/>
      <c r="D2054" s="570"/>
      <c r="E2054" s="571"/>
      <c r="F2054" s="572"/>
      <c r="G2054" s="567"/>
      <c r="H2054" s="567"/>
      <c r="I2054" s="568"/>
      <c r="J2054" s="580"/>
      <c r="K2054" s="581"/>
      <c r="L2054" s="581"/>
      <c r="M2054" s="551"/>
    </row>
    <row r="2055" spans="1:13" s="554" customFormat="1" ht="15.75">
      <c r="A2055" s="549"/>
      <c r="B2055" s="1046"/>
      <c r="C2055" s="1046"/>
      <c r="D2055" s="1046"/>
      <c r="E2055" s="571"/>
      <c r="F2055" s="572"/>
      <c r="G2055" s="567"/>
      <c r="H2055" s="567"/>
      <c r="I2055" s="568"/>
      <c r="J2055" s="580"/>
      <c r="K2055" s="581"/>
      <c r="L2055" s="581"/>
      <c r="M2055" s="551"/>
    </row>
    <row r="2056" spans="1:13" s="554" customFormat="1" ht="15.75">
      <c r="A2056" s="549"/>
      <c r="B2056" s="1046"/>
      <c r="C2056" s="1046"/>
      <c r="D2056" s="1046"/>
      <c r="E2056" s="573"/>
      <c r="F2056" s="549"/>
      <c r="G2056" s="567"/>
      <c r="H2056" s="567"/>
      <c r="I2056" s="568"/>
      <c r="J2056" s="580"/>
      <c r="K2056" s="581"/>
      <c r="L2056" s="581"/>
      <c r="M2056" s="551"/>
    </row>
    <row r="2057" spans="1:13" s="554" customFormat="1" ht="15.75">
      <c r="A2057" s="549"/>
      <c r="B2057" s="1046"/>
      <c r="C2057" s="1046"/>
      <c r="D2057" s="1046"/>
      <c r="E2057" s="574"/>
      <c r="F2057" s="575"/>
      <c r="G2057" s="567"/>
      <c r="H2057" s="567"/>
      <c r="I2057" s="568"/>
      <c r="J2057" s="580"/>
      <c r="K2057" s="581"/>
      <c r="L2057" s="581"/>
      <c r="M2057" s="551"/>
    </row>
    <row r="2058" spans="1:13" s="554" customFormat="1" ht="13.5" thickBot="1">
      <c r="A2058" s="549"/>
      <c r="B2058" s="550"/>
      <c r="C2058" s="569"/>
      <c r="D2058" s="570"/>
      <c r="E2058" s="571"/>
      <c r="F2058" s="572"/>
      <c r="G2058" s="572"/>
      <c r="H2058" s="572"/>
      <c r="I2058" s="576"/>
      <c r="J2058" s="580"/>
      <c r="K2058" s="581"/>
      <c r="L2058" s="581"/>
      <c r="M2058" s="551"/>
    </row>
    <row r="2059" spans="1:13" s="554" customFormat="1">
      <c r="A2059" s="549"/>
      <c r="B2059" s="577"/>
      <c r="C2059" s="1027" t="s">
        <v>2398</v>
      </c>
      <c r="D2059" s="1028"/>
      <c r="E2059" s="1029"/>
      <c r="F2059" s="572"/>
      <c r="G2059" s="572"/>
      <c r="H2059" s="572"/>
      <c r="I2059" s="576"/>
      <c r="J2059" s="580"/>
      <c r="K2059" s="581"/>
      <c r="L2059" s="581"/>
      <c r="M2059" s="551"/>
    </row>
    <row r="2060" spans="1:13" s="554" customFormat="1">
      <c r="A2060" s="549"/>
      <c r="B2060" s="577"/>
      <c r="C2060" s="1030"/>
      <c r="D2060" s="1031"/>
      <c r="E2060" s="1032"/>
      <c r="F2060" s="549"/>
      <c r="G2060" s="549"/>
      <c r="H2060" s="549"/>
      <c r="I2060" s="576"/>
      <c r="J2060" s="580"/>
      <c r="K2060" s="581"/>
      <c r="L2060" s="581"/>
      <c r="M2060" s="551"/>
    </row>
    <row r="2061" spans="1:13" s="554" customFormat="1">
      <c r="A2061" s="549"/>
      <c r="B2061" s="577"/>
      <c r="C2061" s="1030"/>
      <c r="D2061" s="1031"/>
      <c r="E2061" s="1032"/>
      <c r="F2061" s="575"/>
      <c r="G2061" s="575"/>
      <c r="H2061" s="575"/>
      <c r="I2061" s="576"/>
      <c r="J2061" s="580"/>
      <c r="K2061" s="581"/>
      <c r="L2061" s="581"/>
      <c r="M2061" s="551"/>
    </row>
    <row r="2062" spans="1:13" s="554" customFormat="1">
      <c r="A2062" s="549"/>
      <c r="B2062" s="577"/>
      <c r="C2062" s="1030"/>
      <c r="D2062" s="1031"/>
      <c r="E2062" s="1032"/>
      <c r="F2062" s="578"/>
      <c r="G2062" s="578"/>
      <c r="H2062" s="578"/>
      <c r="I2062" s="576"/>
      <c r="J2062" s="580"/>
      <c r="K2062" s="581"/>
      <c r="L2062" s="581"/>
      <c r="M2062" s="551"/>
    </row>
    <row r="2063" spans="1:13" s="554" customFormat="1">
      <c r="A2063" s="549"/>
      <c r="B2063" s="577"/>
      <c r="C2063" s="1030"/>
      <c r="D2063" s="1031"/>
      <c r="E2063" s="1032"/>
      <c r="F2063" s="578"/>
      <c r="G2063" s="578"/>
      <c r="H2063" s="578"/>
      <c r="I2063" s="576"/>
      <c r="J2063" s="580"/>
      <c r="K2063" s="581"/>
      <c r="L2063" s="581"/>
      <c r="M2063" s="551"/>
    </row>
    <row r="2064" spans="1:13" s="554" customFormat="1">
      <c r="A2064" s="549"/>
      <c r="B2064" s="577"/>
      <c r="C2064" s="1030"/>
      <c r="D2064" s="1031"/>
      <c r="E2064" s="1032"/>
      <c r="F2064" s="578"/>
      <c r="G2064" s="578"/>
      <c r="H2064" s="578"/>
      <c r="I2064" s="576"/>
      <c r="J2064" s="580"/>
      <c r="K2064" s="581"/>
      <c r="L2064" s="581"/>
      <c r="M2064" s="551"/>
    </row>
    <row r="2065" spans="1:15" s="554" customFormat="1" ht="34.5" customHeight="1" thickBot="1">
      <c r="A2065" s="549"/>
      <c r="B2065" s="577"/>
      <c r="C2065" s="1033"/>
      <c r="D2065" s="1034"/>
      <c r="E2065" s="1035"/>
      <c r="F2065" s="579"/>
      <c r="G2065" s="579"/>
      <c r="H2065" s="579"/>
      <c r="I2065" s="576"/>
      <c r="J2065" s="580"/>
      <c r="K2065" s="581"/>
      <c r="L2065" s="581"/>
      <c r="M2065" s="551"/>
    </row>
    <row r="2066" spans="1:15">
      <c r="A2066" s="542"/>
      <c r="B2066" s="318"/>
      <c r="C2066" s="318"/>
      <c r="D2066" s="543"/>
      <c r="E2066" s="318"/>
      <c r="F2066" s="318"/>
      <c r="G2066" s="318"/>
      <c r="I2066" s="318"/>
      <c r="J2066" s="318"/>
      <c r="K2066" s="544"/>
      <c r="L2066" s="544"/>
      <c r="M2066" s="544"/>
      <c r="O2066" s="541"/>
    </row>
    <row r="2067" spans="1:15">
      <c r="A2067" s="542"/>
      <c r="B2067" s="318"/>
      <c r="C2067" s="318"/>
      <c r="D2067" s="543"/>
      <c r="E2067" s="318"/>
      <c r="F2067" s="318"/>
      <c r="G2067" s="318"/>
      <c r="I2067" s="318"/>
      <c r="J2067" s="318"/>
      <c r="K2067" s="544"/>
      <c r="L2067" s="544"/>
      <c r="M2067" s="544"/>
      <c r="O2067" s="541"/>
    </row>
    <row r="2068" spans="1:15">
      <c r="A2068" s="542"/>
      <c r="B2068" s="318"/>
      <c r="C2068" s="318"/>
      <c r="D2068" s="543"/>
      <c r="E2068" s="318"/>
      <c r="F2068" s="318"/>
      <c r="G2068" s="318"/>
      <c r="I2068" s="318"/>
      <c r="J2068" s="318"/>
      <c r="K2068" s="544"/>
      <c r="L2068" s="544"/>
      <c r="M2068" s="544"/>
      <c r="O2068" s="541"/>
    </row>
    <row r="2069" spans="1:15">
      <c r="A2069" s="542"/>
      <c r="B2069" s="318"/>
      <c r="C2069" s="318"/>
      <c r="D2069" s="543"/>
      <c r="E2069" s="318"/>
      <c r="F2069" s="318"/>
      <c r="G2069" s="318"/>
      <c r="I2069" s="318"/>
      <c r="J2069" s="318"/>
      <c r="K2069" s="544"/>
      <c r="L2069" s="544"/>
      <c r="M2069" s="544"/>
      <c r="O2069" s="541"/>
    </row>
    <row r="2070" spans="1:15">
      <c r="A2070" s="542"/>
      <c r="B2070" s="318"/>
      <c r="C2070" s="318"/>
      <c r="D2070" s="543"/>
      <c r="E2070" s="318"/>
      <c r="F2070" s="318"/>
      <c r="G2070" s="318"/>
      <c r="I2070" s="318"/>
      <c r="J2070" s="318"/>
      <c r="K2070" s="544"/>
      <c r="L2070" s="544"/>
      <c r="M2070" s="544"/>
      <c r="O2070" s="541"/>
    </row>
    <row r="2071" spans="1:15">
      <c r="A2071" s="542"/>
      <c r="B2071" s="318"/>
      <c r="C2071" s="318"/>
      <c r="D2071" s="543"/>
      <c r="E2071" s="318"/>
      <c r="F2071" s="318"/>
      <c r="G2071" s="318"/>
      <c r="I2071" s="318"/>
      <c r="J2071" s="318"/>
      <c r="K2071" s="544"/>
      <c r="L2071" s="544"/>
      <c r="M2071" s="544"/>
      <c r="O2071" s="541"/>
    </row>
    <row r="2072" spans="1:15">
      <c r="A2072" s="542"/>
      <c r="B2072" s="318"/>
      <c r="C2072" s="318"/>
      <c r="D2072" s="543"/>
      <c r="E2072" s="318"/>
      <c r="F2072" s="318"/>
      <c r="G2072" s="318"/>
      <c r="I2072" s="318"/>
      <c r="J2072" s="318"/>
      <c r="K2072" s="544"/>
      <c r="L2072" s="544"/>
      <c r="M2072" s="544"/>
      <c r="O2072" s="541"/>
    </row>
    <row r="2073" spans="1:15">
      <c r="A2073" s="542"/>
      <c r="B2073" s="318"/>
      <c r="C2073" s="318"/>
      <c r="D2073" s="543"/>
      <c r="E2073" s="318"/>
      <c r="F2073" s="318"/>
      <c r="G2073" s="318"/>
      <c r="I2073" s="318"/>
      <c r="J2073" s="318"/>
      <c r="K2073" s="544"/>
      <c r="L2073" s="544"/>
      <c r="M2073" s="544"/>
      <c r="O2073" s="541"/>
    </row>
    <row r="2074" spans="1:15">
      <c r="J2074" s="318"/>
      <c r="K2074" s="544"/>
      <c r="L2074" s="544"/>
      <c r="M2074" s="544"/>
      <c r="O2074" s="541"/>
    </row>
    <row r="2075" spans="1:15">
      <c r="J2075" s="318"/>
      <c r="K2075" s="544"/>
      <c r="L2075" s="544"/>
      <c r="M2075" s="544"/>
      <c r="O2075" s="541"/>
    </row>
    <row r="2076" spans="1:15">
      <c r="J2076" s="318"/>
      <c r="K2076" s="544"/>
      <c r="L2076" s="544"/>
      <c r="M2076" s="544"/>
      <c r="O2076" s="541"/>
    </row>
    <row r="2077" spans="1:15">
      <c r="J2077" s="318"/>
      <c r="K2077" s="544"/>
      <c r="L2077" s="544"/>
      <c r="M2077" s="544"/>
      <c r="O2077" s="541"/>
    </row>
    <row r="2078" spans="1:15">
      <c r="J2078" s="318"/>
      <c r="K2078" s="544"/>
      <c r="L2078" s="544"/>
      <c r="M2078" s="544"/>
      <c r="O2078" s="541"/>
    </row>
    <row r="2079" spans="1:15">
      <c r="J2079" s="318"/>
      <c r="K2079" s="544"/>
      <c r="L2079" s="544"/>
      <c r="M2079" s="544"/>
      <c r="O2079" s="541"/>
    </row>
    <row r="2080" spans="1:15">
      <c r="J2080" s="318"/>
      <c r="K2080" s="544"/>
      <c r="L2080" s="544"/>
      <c r="M2080" s="544"/>
      <c r="O2080" s="541"/>
    </row>
    <row r="2081" spans="10:15">
      <c r="J2081" s="318"/>
      <c r="K2081" s="544"/>
      <c r="L2081" s="544"/>
      <c r="M2081" s="544"/>
      <c r="O2081" s="541"/>
    </row>
    <row r="2082" spans="10:15">
      <c r="J2082" s="318"/>
      <c r="K2082" s="544"/>
      <c r="L2082" s="544"/>
      <c r="M2082" s="544"/>
      <c r="O2082" s="541"/>
    </row>
    <row r="2083" spans="10:15">
      <c r="J2083" s="318"/>
      <c r="K2083" s="544"/>
      <c r="L2083" s="544"/>
      <c r="M2083" s="544"/>
      <c r="O2083" s="541"/>
    </row>
    <row r="2084" spans="10:15">
      <c r="J2084" s="318"/>
      <c r="K2084" s="544"/>
      <c r="L2084" s="544"/>
      <c r="M2084" s="544"/>
      <c r="O2084" s="541"/>
    </row>
    <row r="2085" spans="10:15">
      <c r="J2085" s="318"/>
      <c r="K2085" s="544"/>
      <c r="L2085" s="544"/>
      <c r="M2085" s="544"/>
      <c r="O2085" s="541"/>
    </row>
    <row r="2086" spans="10:15">
      <c r="J2086" s="318"/>
      <c r="K2086" s="544"/>
      <c r="L2086" s="544"/>
      <c r="M2086" s="544"/>
      <c r="O2086" s="541"/>
    </row>
    <row r="2087" spans="10:15">
      <c r="J2087" s="318"/>
      <c r="K2087" s="544"/>
      <c r="L2087" s="544"/>
      <c r="M2087" s="544"/>
      <c r="O2087" s="541"/>
    </row>
    <row r="2088" spans="10:15">
      <c r="J2088" s="318"/>
      <c r="K2088" s="544"/>
      <c r="L2088" s="544"/>
      <c r="M2088" s="544"/>
      <c r="O2088" s="541"/>
    </row>
    <row r="2089" spans="10:15">
      <c r="J2089" s="318"/>
      <c r="K2089" s="544"/>
      <c r="L2089" s="544"/>
      <c r="M2089" s="544"/>
      <c r="O2089" s="541"/>
    </row>
    <row r="2090" spans="10:15">
      <c r="J2090" s="318"/>
      <c r="K2090" s="544"/>
      <c r="L2090" s="544"/>
      <c r="M2090" s="544"/>
      <c r="O2090" s="541"/>
    </row>
    <row r="2091" spans="10:15">
      <c r="J2091" s="318"/>
      <c r="K2091" s="544"/>
      <c r="L2091" s="544"/>
      <c r="M2091" s="544"/>
      <c r="O2091" s="541"/>
    </row>
    <row r="2092" spans="10:15">
      <c r="J2092" s="318"/>
      <c r="K2092" s="544"/>
      <c r="L2092" s="544"/>
      <c r="M2092" s="544"/>
      <c r="O2092" s="541"/>
    </row>
    <row r="2093" spans="10:15">
      <c r="J2093" s="318"/>
      <c r="K2093" s="544"/>
      <c r="L2093" s="544"/>
      <c r="M2093" s="544"/>
      <c r="O2093" s="541"/>
    </row>
    <row r="2094" spans="10:15">
      <c r="J2094" s="318"/>
      <c r="K2094" s="544"/>
      <c r="L2094" s="544"/>
      <c r="M2094" s="544"/>
      <c r="O2094" s="541"/>
    </row>
    <row r="2095" spans="10:15">
      <c r="J2095" s="318"/>
      <c r="K2095" s="544"/>
      <c r="L2095" s="544"/>
      <c r="M2095" s="544"/>
      <c r="O2095" s="541"/>
    </row>
    <row r="2096" spans="10:15">
      <c r="J2096" s="318"/>
      <c r="K2096" s="544"/>
      <c r="L2096" s="544"/>
      <c r="M2096" s="544"/>
      <c r="O2096" s="541"/>
    </row>
    <row r="2097" spans="10:15">
      <c r="J2097" s="318"/>
      <c r="K2097" s="544"/>
      <c r="L2097" s="544"/>
      <c r="M2097" s="544"/>
      <c r="O2097" s="541"/>
    </row>
    <row r="2098" spans="10:15">
      <c r="J2098" s="318"/>
      <c r="K2098" s="544"/>
      <c r="L2098" s="544"/>
      <c r="M2098" s="544"/>
      <c r="O2098" s="541"/>
    </row>
    <row r="2099" spans="10:15">
      <c r="J2099" s="318"/>
      <c r="K2099" s="544"/>
      <c r="L2099" s="544"/>
      <c r="M2099" s="544"/>
      <c r="O2099" s="541"/>
    </row>
    <row r="2100" spans="10:15">
      <c r="J2100" s="318"/>
      <c r="K2100" s="544"/>
      <c r="L2100" s="544"/>
      <c r="M2100" s="544"/>
      <c r="O2100" s="541"/>
    </row>
    <row r="2101" spans="10:15">
      <c r="J2101" s="318"/>
      <c r="K2101" s="544"/>
      <c r="L2101" s="544"/>
      <c r="M2101" s="544"/>
      <c r="O2101" s="541"/>
    </row>
    <row r="2102" spans="10:15">
      <c r="J2102" s="318"/>
      <c r="K2102" s="544"/>
      <c r="L2102" s="544"/>
      <c r="M2102" s="544"/>
      <c r="O2102" s="541"/>
    </row>
    <row r="2103" spans="10:15">
      <c r="J2103" s="318"/>
      <c r="K2103" s="544"/>
      <c r="L2103" s="544"/>
      <c r="M2103" s="544"/>
      <c r="O2103" s="541"/>
    </row>
    <row r="2104" spans="10:15">
      <c r="J2104" s="318"/>
      <c r="K2104" s="544"/>
      <c r="L2104" s="544"/>
      <c r="M2104" s="544"/>
      <c r="O2104" s="541"/>
    </row>
    <row r="2105" spans="10:15">
      <c r="J2105" s="318"/>
      <c r="K2105" s="544"/>
      <c r="L2105" s="544"/>
      <c r="M2105" s="544"/>
      <c r="O2105" s="541"/>
    </row>
    <row r="2106" spans="10:15">
      <c r="J2106" s="318"/>
      <c r="K2106" s="544"/>
      <c r="L2106" s="544"/>
      <c r="M2106" s="544"/>
      <c r="O2106" s="541"/>
    </row>
    <row r="2107" spans="10:15">
      <c r="J2107" s="318"/>
      <c r="K2107" s="544"/>
      <c r="L2107" s="544"/>
      <c r="M2107" s="544"/>
      <c r="O2107" s="541"/>
    </row>
    <row r="2108" spans="10:15">
      <c r="J2108" s="318"/>
      <c r="K2108" s="544"/>
      <c r="L2108" s="544"/>
      <c r="M2108" s="544"/>
      <c r="O2108" s="541"/>
    </row>
    <row r="2109" spans="10:15">
      <c r="J2109" s="318"/>
      <c r="K2109" s="544"/>
      <c r="L2109" s="544"/>
      <c r="M2109" s="544"/>
      <c r="O2109" s="541"/>
    </row>
    <row r="2110" spans="10:15">
      <c r="J2110" s="318"/>
      <c r="K2110" s="544"/>
      <c r="L2110" s="544"/>
      <c r="M2110" s="544"/>
      <c r="O2110" s="541"/>
    </row>
    <row r="2111" spans="10:15">
      <c r="O2111" s="541"/>
    </row>
    <row r="2112" spans="10:15">
      <c r="O2112" s="541"/>
    </row>
    <row r="2113" spans="15:15">
      <c r="O2113" s="541"/>
    </row>
    <row r="2114" spans="15:15">
      <c r="O2114" s="541"/>
    </row>
    <row r="2115" spans="15:15">
      <c r="O2115" s="541"/>
    </row>
    <row r="2116" spans="15:15">
      <c r="O2116" s="541"/>
    </row>
    <row r="2117" spans="15:15">
      <c r="O2117" s="541"/>
    </row>
    <row r="2118" spans="15:15">
      <c r="O2118" s="541"/>
    </row>
    <row r="2119" spans="15:15">
      <c r="O2119" s="541"/>
    </row>
    <row r="2120" spans="15:15">
      <c r="O2120" s="541"/>
    </row>
    <row r="2121" spans="15:15">
      <c r="O2121" s="541"/>
    </row>
    <row r="2122" spans="15:15">
      <c r="O2122" s="541"/>
    </row>
    <row r="2123" spans="15:15">
      <c r="O2123" s="541"/>
    </row>
    <row r="2124" spans="15:15">
      <c r="O2124" s="541"/>
    </row>
    <row r="2125" spans="15:15">
      <c r="O2125" s="541"/>
    </row>
    <row r="2126" spans="15:15">
      <c r="O2126" s="541"/>
    </row>
    <row r="2127" spans="15:15">
      <c r="O2127" s="541"/>
    </row>
    <row r="2128" spans="15:15">
      <c r="O2128" s="541"/>
    </row>
    <row r="2129" spans="15:15">
      <c r="O2129" s="541"/>
    </row>
    <row r="2130" spans="15:15">
      <c r="O2130" s="541"/>
    </row>
    <row r="2131" spans="15:15">
      <c r="O2131" s="541"/>
    </row>
    <row r="2132" spans="15:15">
      <c r="O2132" s="541"/>
    </row>
    <row r="2133" spans="15:15">
      <c r="O2133" s="541"/>
    </row>
    <row r="2134" spans="15:15">
      <c r="O2134" s="541"/>
    </row>
    <row r="2135" spans="15:15">
      <c r="O2135" s="541"/>
    </row>
    <row r="2136" spans="15:15">
      <c r="O2136" s="541"/>
    </row>
    <row r="2137" spans="15:15">
      <c r="O2137" s="541"/>
    </row>
    <row r="2138" spans="15:15">
      <c r="O2138" s="541"/>
    </row>
    <row r="2139" spans="15:15">
      <c r="O2139" s="541"/>
    </row>
    <row r="2140" spans="15:15">
      <c r="O2140" s="541"/>
    </row>
    <row r="2141" spans="15:15">
      <c r="O2141" s="541"/>
    </row>
    <row r="2142" spans="15:15">
      <c r="O2142" s="541"/>
    </row>
    <row r="2143" spans="15:15">
      <c r="O2143" s="541"/>
    </row>
    <row r="2144" spans="15:15">
      <c r="O2144" s="541"/>
    </row>
    <row r="2145" spans="15:15">
      <c r="O2145" s="541"/>
    </row>
    <row r="2146" spans="15:15">
      <c r="O2146" s="541"/>
    </row>
    <row r="2147" spans="15:15">
      <c r="O2147" s="541"/>
    </row>
    <row r="2148" spans="15:15">
      <c r="O2148" s="541"/>
    </row>
    <row r="2149" spans="15:15">
      <c r="O2149" s="541"/>
    </row>
    <row r="2150" spans="15:15">
      <c r="O2150" s="541"/>
    </row>
    <row r="2151" spans="15:15">
      <c r="O2151" s="541"/>
    </row>
    <row r="2152" spans="15:15">
      <c r="O2152" s="541"/>
    </row>
    <row r="2153" spans="15:15">
      <c r="O2153" s="541"/>
    </row>
    <row r="2154" spans="15:15">
      <c r="O2154" s="541"/>
    </row>
    <row r="2155" spans="15:15">
      <c r="O2155" s="541"/>
    </row>
    <row r="2156" spans="15:15">
      <c r="O2156" s="541"/>
    </row>
    <row r="2157" spans="15:15">
      <c r="O2157" s="541"/>
    </row>
    <row r="2158" spans="15:15">
      <c r="O2158" s="541"/>
    </row>
    <row r="2159" spans="15:15">
      <c r="O2159" s="541"/>
    </row>
    <row r="2160" spans="15:15">
      <c r="O2160" s="541"/>
    </row>
    <row r="2161" spans="15:15">
      <c r="O2161" s="541"/>
    </row>
    <row r="2162" spans="15:15">
      <c r="O2162" s="541"/>
    </row>
    <row r="2163" spans="15:15">
      <c r="O2163" s="541"/>
    </row>
    <row r="2164" spans="15:15">
      <c r="O2164" s="541"/>
    </row>
    <row r="2165" spans="15:15">
      <c r="O2165" s="541"/>
    </row>
    <row r="2166" spans="15:15">
      <c r="O2166" s="541"/>
    </row>
    <row r="2167" spans="15:15">
      <c r="O2167" s="541"/>
    </row>
    <row r="2168" spans="15:15">
      <c r="O2168" s="541"/>
    </row>
    <row r="2169" spans="15:15">
      <c r="O2169" s="541"/>
    </row>
    <row r="2170" spans="15:15">
      <c r="O2170" s="541"/>
    </row>
    <row r="2171" spans="15:15">
      <c r="O2171" s="541"/>
    </row>
    <row r="2172" spans="15:15">
      <c r="O2172" s="541"/>
    </row>
    <row r="2173" spans="15:15">
      <c r="O2173" s="541"/>
    </row>
    <row r="2174" spans="15:15">
      <c r="O2174" s="541"/>
    </row>
    <row r="2175" spans="15:15">
      <c r="O2175" s="541"/>
    </row>
    <row r="2176" spans="15:15">
      <c r="O2176" s="541"/>
    </row>
    <row r="2177" spans="15:15">
      <c r="O2177" s="541"/>
    </row>
    <row r="2178" spans="15:15">
      <c r="O2178" s="541"/>
    </row>
    <row r="2179" spans="15:15">
      <c r="O2179" s="541"/>
    </row>
    <row r="2180" spans="15:15">
      <c r="O2180" s="541"/>
    </row>
    <row r="2181" spans="15:15">
      <c r="O2181" s="541"/>
    </row>
    <row r="2182" spans="15:15">
      <c r="O2182" s="541"/>
    </row>
    <row r="2183" spans="15:15">
      <c r="O2183" s="541"/>
    </row>
    <row r="2184" spans="15:15">
      <c r="O2184" s="541"/>
    </row>
    <row r="2185" spans="15:15">
      <c r="O2185" s="541"/>
    </row>
    <row r="2186" spans="15:15">
      <c r="O2186" s="541"/>
    </row>
    <row r="2187" spans="15:15">
      <c r="O2187" s="541"/>
    </row>
    <row r="2188" spans="15:15">
      <c r="O2188" s="541"/>
    </row>
    <row r="2189" spans="15:15">
      <c r="O2189" s="541"/>
    </row>
    <row r="2190" spans="15:15">
      <c r="O2190" s="541"/>
    </row>
    <row r="2191" spans="15:15">
      <c r="O2191" s="541"/>
    </row>
    <row r="2192" spans="15:15">
      <c r="O2192" s="541"/>
    </row>
    <row r="2193" spans="15:15">
      <c r="O2193" s="541"/>
    </row>
    <row r="2194" spans="15:15">
      <c r="O2194" s="541"/>
    </row>
    <row r="2195" spans="15:15">
      <c r="O2195" s="541"/>
    </row>
    <row r="2196" spans="15:15">
      <c r="O2196" s="541"/>
    </row>
    <row r="2197" spans="15:15">
      <c r="O2197" s="541"/>
    </row>
    <row r="2198" spans="15:15">
      <c r="O2198" s="541"/>
    </row>
    <row r="2199" spans="15:15">
      <c r="O2199" s="541"/>
    </row>
    <row r="2200" spans="15:15">
      <c r="O2200" s="541"/>
    </row>
    <row r="2201" spans="15:15">
      <c r="O2201" s="541"/>
    </row>
    <row r="2202" spans="15:15">
      <c r="O2202" s="541"/>
    </row>
    <row r="2203" spans="15:15">
      <c r="O2203" s="541"/>
    </row>
    <row r="2204" spans="15:15">
      <c r="O2204" s="541"/>
    </row>
    <row r="2205" spans="15:15">
      <c r="O2205" s="541"/>
    </row>
    <row r="2206" spans="15:15">
      <c r="O2206" s="541"/>
    </row>
    <row r="2207" spans="15:15">
      <c r="O2207" s="541"/>
    </row>
    <row r="2208" spans="15:15">
      <c r="O2208" s="541"/>
    </row>
    <row r="2209" spans="15:15">
      <c r="O2209" s="541"/>
    </row>
    <row r="2210" spans="15:15">
      <c r="O2210" s="541"/>
    </row>
    <row r="2211" spans="15:15">
      <c r="O2211" s="541"/>
    </row>
    <row r="2212" spans="15:15">
      <c r="O2212" s="541"/>
    </row>
    <row r="2213" spans="15:15">
      <c r="O2213" s="541"/>
    </row>
    <row r="2214" spans="15:15">
      <c r="O2214" s="541"/>
    </row>
    <row r="2215" spans="15:15">
      <c r="O2215" s="541"/>
    </row>
  </sheetData>
  <mergeCells count="18">
    <mergeCell ref="O2024:P2024"/>
    <mergeCell ref="A7:M7"/>
    <mergeCell ref="D2047:G2047"/>
    <mergeCell ref="D2048:G2048"/>
    <mergeCell ref="D2049:G2049"/>
    <mergeCell ref="L2043:N2043"/>
    <mergeCell ref="L2044:N2044"/>
    <mergeCell ref="L2045:N2045"/>
    <mergeCell ref="C2059:E2065"/>
    <mergeCell ref="F2029:I2029"/>
    <mergeCell ref="F2030:I2030"/>
    <mergeCell ref="F2031:I2031"/>
    <mergeCell ref="F2032:I2032"/>
    <mergeCell ref="F2033:I2033"/>
    <mergeCell ref="D2051:G2051"/>
    <mergeCell ref="D2052:G2052"/>
    <mergeCell ref="D2053:E2053"/>
    <mergeCell ref="B2055:D2057"/>
  </mergeCells>
  <conditionalFormatting sqref="G1318:I1318 G1311:G1317 G1319:G1321 I1319:I1321 G1322:I1327 G1208:J1227 I1311:I1317 G1310:I1310 J1310:J1327 G1204:G1207 I1204:J1207 G1308:G1309 I1308:J1309">
    <cfRule type="expression" dxfId="10" priority="8">
      <formula>IF(ISBLANK($F1204),NOT(ISBLANK($I1204)),IF(ISNUMBER($I1204),ABS($I1204-ROUND($I1204,2))&gt;0.000001,TRUE))</formula>
    </cfRule>
  </conditionalFormatting>
  <conditionalFormatting sqref="F1204:F1227 F1308:F1327">
    <cfRule type="expression" dxfId="9" priority="9">
      <formula>IF(ISBLANK($F1204),NOT(ISBLANK($G1204)),IF(ISNUMBER($G1204),ABS($G1204-ROUND($G1204,2))&gt;0.000001,TRUE))</formula>
    </cfRule>
  </conditionalFormatting>
  <conditionalFormatting sqref="G2053:I2057 D2052:I2052">
    <cfRule type="expression" dxfId="8" priority="7" stopIfTrue="1">
      <formula>$D$6&lt;&gt;0</formula>
    </cfRule>
  </conditionalFormatting>
  <conditionalFormatting sqref="F2053">
    <cfRule type="expression" dxfId="7" priority="6" stopIfTrue="1">
      <formula>$D$6&lt;&gt;0</formula>
    </cfRule>
  </conditionalFormatting>
  <conditionalFormatting sqref="D2049:H2049">
    <cfRule type="expression" dxfId="6" priority="4" stopIfTrue="1">
      <formula>$D$6&lt;&gt;0</formula>
    </cfRule>
  </conditionalFormatting>
  <conditionalFormatting sqref="D2051:I2051">
    <cfRule type="expression" dxfId="5" priority="5" stopIfTrue="1">
      <formula>$D$6&lt;&gt;0</formula>
    </cfRule>
  </conditionalFormatting>
  <conditionalFormatting sqref="I2042:I2046">
    <cfRule type="cellIs" dxfId="4" priority="2" stopIfTrue="1" operator="between">
      <formula>$D2042</formula>
      <formula>$F2042</formula>
    </cfRule>
  </conditionalFormatting>
  <conditionalFormatting sqref="I2049">
    <cfRule type="expression" dxfId="3" priority="3" stopIfTrue="1">
      <formula>$D$6&lt;&gt;0</formula>
    </cfRule>
  </conditionalFormatting>
  <conditionalFormatting sqref="H1336">
    <cfRule type="expression" dxfId="2" priority="1">
      <formula>IF(ISBLANK($F1336),NOT(ISBLANK($I1336)),IF(ISNUMBER($I1336),ABS($I1336-ROUND($I1336,2))&gt;0.000001,TRUE))</formula>
    </cfRule>
  </conditionalFormatting>
  <pageMargins left="0.51181102362204722" right="0.51181102362204722" top="0.78740157480314965" bottom="0.78740157480314965" header="0.31496062992125984" footer="0.31496062992125984"/>
  <pageSetup paperSize="9" scale="70" fitToWidth="43" fitToHeight="43" orientation="landscape" r:id="rId1"/>
  <headerFooter>
    <oddFooter>&amp;L&amp;A&amp;Rpagina &amp;P DE &amp;N</oddFooter>
  </headerFooter>
  <ignoredErrors>
    <ignoredError sqref="G122" unlockedFormula="1"/>
  </ignoredErrors>
  <drawing r:id="rId2"/>
</worksheet>
</file>

<file path=xl/worksheets/sheet2.xml><?xml version="1.0" encoding="utf-8"?>
<worksheet xmlns="http://schemas.openxmlformats.org/spreadsheetml/2006/main" xmlns:r="http://schemas.openxmlformats.org/officeDocument/2006/relationships">
  <sheetPr>
    <tabColor theme="2" tint="-0.499984740745262"/>
  </sheetPr>
  <dimension ref="A1:AM2053"/>
  <sheetViews>
    <sheetView view="pageBreakPreview" zoomScale="80" zoomScaleSheetLayoutView="80" workbookViewId="0">
      <pane xSplit="18" ySplit="9" topLeftCell="S25" activePane="bottomRight" state="frozen"/>
      <selection pane="topRight" activeCell="S1" sqref="S1"/>
      <selection pane="bottomLeft" activeCell="A14" sqref="A14"/>
      <selection pane="bottomRight" activeCell="G28" sqref="G28"/>
    </sheetView>
  </sheetViews>
  <sheetFormatPr defaultColWidth="9.140625" defaultRowHeight="15.75"/>
  <cols>
    <col min="1" max="1" width="10.7109375" style="915" hidden="1" customWidth="1"/>
    <col min="2" max="2" width="10.7109375" style="919" hidden="1" customWidth="1"/>
    <col min="3" max="3" width="0" style="913" hidden="1" customWidth="1"/>
    <col min="4" max="4" width="7.140625" style="89" customWidth="1"/>
    <col min="5" max="5" width="10" style="810" customWidth="1"/>
    <col min="6" max="6" width="12.28515625" style="89" customWidth="1"/>
    <col min="7" max="7" width="63.5703125" style="89" customWidth="1"/>
    <col min="8" max="8" width="9.140625" style="89"/>
    <col min="9" max="9" width="8.140625" style="89" hidden="1" customWidth="1"/>
    <col min="10" max="10" width="8.85546875" style="311" hidden="1" customWidth="1"/>
    <col min="11" max="11" width="13.28515625" style="311" customWidth="1"/>
    <col min="12" max="12" width="9.140625" style="89"/>
    <col min="13" max="13" width="11" style="89" customWidth="1"/>
    <col min="14" max="14" width="11.7109375" style="89" hidden="1" customWidth="1"/>
    <col min="15" max="15" width="12.140625" style="89" customWidth="1"/>
    <col min="16" max="16" width="13.140625" style="44" customWidth="1"/>
    <col min="17" max="17" width="15.5703125" style="849" customWidth="1"/>
    <col min="18" max="18" width="24.85546875" style="849" customWidth="1"/>
    <col min="19" max="19" width="9.42578125" style="811" customWidth="1"/>
    <col min="20" max="20" width="9.42578125" style="849" customWidth="1"/>
    <col min="21" max="21" width="21.140625" style="89" customWidth="1"/>
    <col min="22" max="22" width="40.140625" style="89" customWidth="1"/>
    <col min="23" max="16384" width="9.140625" style="89"/>
  </cols>
  <sheetData>
    <row r="1" spans="1:39" s="90" customFormat="1">
      <c r="A1" s="915"/>
      <c r="B1" s="919"/>
      <c r="C1" s="913"/>
      <c r="D1" s="98" t="str">
        <f>'OBRAS E SERVIÇOS'!A1</f>
        <v>Proprietário: PREFEITURA MUNICIPAL DE CORDEIRÓPOLIS</v>
      </c>
      <c r="E1" s="793"/>
      <c r="F1" s="100"/>
      <c r="G1" s="101"/>
      <c r="H1" s="92"/>
      <c r="I1" s="92"/>
      <c r="J1" s="393"/>
      <c r="K1" s="393"/>
      <c r="L1" s="93"/>
      <c r="P1" s="790"/>
      <c r="Q1" s="97"/>
      <c r="R1" s="97"/>
      <c r="S1" s="103"/>
      <c r="T1" s="97"/>
    </row>
    <row r="2" spans="1:39" s="90" customFormat="1" ht="16.5" thickBot="1">
      <c r="A2" s="915"/>
      <c r="B2" s="919"/>
      <c r="C2" s="913"/>
      <c r="D2" s="98" t="str">
        <f>'OBRAS E SERVIÇOS'!A2</f>
        <v>Obra : IMPLANTAÇÃO DA ESTAÇÃO DE TRATAMENTO DE ÁGUA - ETA</v>
      </c>
      <c r="E2" s="793"/>
      <c r="F2" s="100"/>
      <c r="G2" s="102"/>
      <c r="H2" s="92"/>
      <c r="I2" s="94"/>
      <c r="J2" s="393"/>
      <c r="K2" s="393"/>
      <c r="L2" s="93"/>
      <c r="P2" s="790"/>
      <c r="Q2" s="97"/>
      <c r="R2" s="97"/>
      <c r="S2" s="103"/>
      <c r="T2" s="97"/>
    </row>
    <row r="3" spans="1:39" s="90" customFormat="1" ht="16.5" thickBot="1">
      <c r="A3" s="915"/>
      <c r="B3" s="919"/>
      <c r="C3" s="913"/>
      <c r="D3" s="98" t="str">
        <f>'OBRAS E SERVIÇOS'!A3</f>
        <v>Local : MUNICÍPIO DE CORDEIRÓPOLIS</v>
      </c>
      <c r="E3" s="793"/>
      <c r="F3" s="100"/>
      <c r="G3" s="102"/>
      <c r="H3" s="91"/>
      <c r="I3" s="95"/>
      <c r="J3" s="96"/>
      <c r="K3" s="96"/>
      <c r="L3" s="93"/>
      <c r="P3" s="790"/>
      <c r="Q3" s="97"/>
      <c r="R3" s="97"/>
      <c r="S3" s="905">
        <v>1.31</v>
      </c>
      <c r="T3" s="469" t="s">
        <v>2445</v>
      </c>
    </row>
    <row r="4" spans="1:39" s="90" customFormat="1">
      <c r="A4" s="915"/>
      <c r="B4" s="919"/>
      <c r="C4" s="913"/>
      <c r="D4" s="98" t="str">
        <f>'OBRAS E SERVIÇOS'!A4</f>
        <v>DATA BASE: MARÇO 2017</v>
      </c>
      <c r="E4" s="103"/>
      <c r="F4" s="97"/>
      <c r="G4" s="102"/>
      <c r="H4" s="97"/>
      <c r="I4" s="95"/>
      <c r="J4" s="96"/>
      <c r="K4" s="96"/>
      <c r="L4" s="93"/>
      <c r="P4" s="790"/>
      <c r="Q4" s="97"/>
      <c r="R4" s="97"/>
      <c r="S4" s="103"/>
      <c r="T4" s="97"/>
    </row>
    <row r="5" spans="1:39" s="90" customFormat="1" ht="14.25" customHeight="1">
      <c r="A5" s="915"/>
      <c r="B5" s="919"/>
      <c r="C5" s="913"/>
      <c r="D5" s="98" t="str">
        <f>'OBRAS E SERVIÇOS'!A5</f>
        <v>ARQUIVO: 051 - O - 1558 - 20 - 001_0</v>
      </c>
      <c r="E5" s="103"/>
      <c r="F5" s="97"/>
      <c r="G5" s="102"/>
      <c r="H5" s="97"/>
      <c r="I5" s="95"/>
      <c r="J5" s="96"/>
      <c r="K5" s="96"/>
      <c r="L5" s="93"/>
      <c r="P5" s="790"/>
      <c r="Q5" s="97"/>
      <c r="R5" s="866" t="s">
        <v>2419</v>
      </c>
      <c r="S5" s="103"/>
      <c r="T5" s="97"/>
    </row>
    <row r="6" spans="1:39" s="90" customFormat="1">
      <c r="A6" s="915"/>
      <c r="B6" s="919"/>
      <c r="C6" s="913"/>
      <c r="D6" s="98"/>
      <c r="E6" s="103"/>
      <c r="F6" s="97"/>
      <c r="G6" s="102"/>
      <c r="H6" s="97"/>
      <c r="I6" s="95"/>
      <c r="J6" s="96"/>
      <c r="K6" s="96"/>
      <c r="L6" s="93"/>
      <c r="P6" s="790"/>
      <c r="Q6" s="867" t="s">
        <v>2418</v>
      </c>
      <c r="R6" s="867" t="s">
        <v>2415</v>
      </c>
      <c r="S6" s="793"/>
      <c r="T6" s="100"/>
      <c r="U6" s="836"/>
      <c r="V6" s="796"/>
    </row>
    <row r="7" spans="1:39" s="90" customFormat="1" ht="12.75" customHeight="1">
      <c r="A7" s="915"/>
      <c r="B7" s="919"/>
      <c r="C7" s="913"/>
      <c r="D7" s="97"/>
      <c r="E7" s="103"/>
      <c r="F7" s="97"/>
      <c r="G7" s="102"/>
      <c r="H7" s="97"/>
      <c r="I7" s="95"/>
      <c r="J7" s="96"/>
      <c r="K7" s="96"/>
      <c r="L7" s="93"/>
      <c r="M7" s="925"/>
      <c r="N7" s="90" t="s">
        <v>2444</v>
      </c>
      <c r="P7" s="790"/>
      <c r="Q7" s="868"/>
      <c r="R7" s="868"/>
      <c r="S7" s="103"/>
      <c r="T7" s="97"/>
    </row>
    <row r="8" spans="1:39" s="1" customFormat="1" ht="17.25" customHeight="1" thickBot="1">
      <c r="A8" s="916"/>
      <c r="B8" s="920"/>
      <c r="C8" s="923"/>
      <c r="D8" s="897"/>
      <c r="E8" s="898"/>
      <c r="F8" s="104"/>
      <c r="G8" s="880"/>
      <c r="H8" s="104"/>
      <c r="I8" s="105"/>
      <c r="J8" s="106"/>
      <c r="K8" s="106"/>
      <c r="L8" s="107"/>
      <c r="M8" s="925"/>
      <c r="N8" s="470" t="s">
        <v>2443</v>
      </c>
      <c r="O8" s="470"/>
      <c r="P8" s="881"/>
      <c r="Q8" s="869"/>
      <c r="R8" s="869"/>
      <c r="S8" s="838"/>
      <c r="T8" s="850"/>
      <c r="U8" s="2"/>
      <c r="V8" s="2"/>
      <c r="W8" s="2"/>
      <c r="X8" s="2"/>
      <c r="Y8" s="2"/>
      <c r="Z8" s="2"/>
      <c r="AA8" s="2"/>
      <c r="AB8" s="2"/>
      <c r="AC8" s="2"/>
      <c r="AD8" s="2"/>
      <c r="AE8" s="2"/>
      <c r="AF8" s="2"/>
      <c r="AG8" s="2"/>
      <c r="AH8" s="2"/>
      <c r="AI8" s="2"/>
      <c r="AJ8" s="2"/>
      <c r="AK8" s="2"/>
      <c r="AL8" s="2"/>
      <c r="AM8" s="2"/>
    </row>
    <row r="9" spans="1:39" ht="40.5" customHeight="1" thickBot="1">
      <c r="A9" s="917" t="s">
        <v>2454</v>
      </c>
      <c r="B9" s="921" t="s">
        <v>2453</v>
      </c>
      <c r="C9" s="914" t="s">
        <v>2452</v>
      </c>
      <c r="D9" s="490" t="s">
        <v>69</v>
      </c>
      <c r="E9" s="491" t="s">
        <v>1991</v>
      </c>
      <c r="F9" s="492" t="s">
        <v>1951</v>
      </c>
      <c r="G9" s="493" t="s">
        <v>1950</v>
      </c>
      <c r="H9" s="494" t="s">
        <v>157</v>
      </c>
      <c r="I9" s="495" t="s">
        <v>2345</v>
      </c>
      <c r="J9" s="494" t="s">
        <v>156</v>
      </c>
      <c r="K9" s="494" t="str">
        <f>'OBRAS E SERVIÇOS'!H8</f>
        <v xml:space="preserve">Preço Unitário </v>
      </c>
      <c r="L9" s="494" t="s">
        <v>155</v>
      </c>
      <c r="M9" s="496" t="s">
        <v>154</v>
      </c>
      <c r="N9" s="495" t="s">
        <v>2346</v>
      </c>
      <c r="O9" s="788" t="str">
        <f>'OBRAS E SERVIÇOS'!L8</f>
        <v>Quantidade à Licitar</v>
      </c>
      <c r="P9" s="788" t="str">
        <f>'OBRAS E SERVIÇOS'!M8</f>
        <v>Valor acumulado atual  (R$)</v>
      </c>
      <c r="Q9" s="870"/>
      <c r="R9" s="870"/>
      <c r="S9" s="835"/>
      <c r="T9" s="851"/>
      <c r="U9" s="344"/>
      <c r="V9" s="344"/>
      <c r="W9" s="344"/>
      <c r="X9" s="344"/>
      <c r="Y9" s="344"/>
      <c r="Z9" s="344"/>
      <c r="AA9" s="344"/>
      <c r="AB9" s="344"/>
      <c r="AC9" s="344"/>
      <c r="AD9" s="344"/>
      <c r="AE9" s="344"/>
      <c r="AF9" s="344"/>
      <c r="AG9" s="344"/>
      <c r="AH9" s="344"/>
      <c r="AI9" s="344"/>
      <c r="AJ9" s="344"/>
      <c r="AK9" s="344"/>
      <c r="AL9" s="344"/>
      <c r="AM9" s="344"/>
    </row>
    <row r="10" spans="1:39" ht="12.75">
      <c r="A10" s="917"/>
      <c r="B10" s="921"/>
      <c r="C10" s="914"/>
      <c r="D10" s="326"/>
      <c r="E10" s="327"/>
      <c r="F10" s="326"/>
      <c r="G10" s="328"/>
      <c r="H10" s="329"/>
      <c r="I10" s="330"/>
      <c r="J10" s="329"/>
      <c r="K10" s="329"/>
      <c r="L10" s="329"/>
      <c r="M10" s="331"/>
      <c r="N10" s="373"/>
      <c r="O10" s="372"/>
      <c r="P10" s="861"/>
      <c r="Q10" s="871"/>
      <c r="R10" s="871"/>
    </row>
    <row r="11" spans="1:39">
      <c r="D11" s="302"/>
      <c r="E11" s="819"/>
      <c r="F11" s="302"/>
      <c r="G11" s="302"/>
      <c r="H11" s="302"/>
      <c r="I11" s="302"/>
      <c r="J11" s="302"/>
      <c r="K11" s="302"/>
      <c r="L11" s="302"/>
      <c r="M11" s="302"/>
      <c r="N11" s="375"/>
      <c r="O11" s="374"/>
      <c r="P11" s="862"/>
      <c r="Q11" s="871"/>
      <c r="R11" s="871"/>
    </row>
    <row r="12" spans="1:39" s="310" customFormat="1">
      <c r="A12" s="915"/>
      <c r="B12" s="919"/>
      <c r="C12" s="913"/>
      <c r="D12" s="108">
        <v>3</v>
      </c>
      <c r="E12" s="813"/>
      <c r="F12" s="109"/>
      <c r="G12" s="108" t="s">
        <v>1957</v>
      </c>
      <c r="H12" s="109"/>
      <c r="I12" s="109"/>
      <c r="J12" s="109"/>
      <c r="K12" s="109"/>
      <c r="L12" s="109"/>
      <c r="M12" s="109"/>
      <c r="N12" s="378"/>
      <c r="O12" s="377"/>
      <c r="P12" s="377"/>
      <c r="Q12" s="872"/>
      <c r="R12" s="872"/>
      <c r="S12" s="839"/>
      <c r="T12" s="852"/>
    </row>
    <row r="13" spans="1:39">
      <c r="D13" s="384"/>
      <c r="E13" s="931"/>
      <c r="F13" s="384"/>
      <c r="G13" s="384"/>
      <c r="H13" s="384"/>
      <c r="I13" s="384"/>
      <c r="J13" s="384"/>
      <c r="K13" s="384"/>
      <c r="L13" s="384"/>
      <c r="M13" s="384"/>
      <c r="N13" s="926"/>
      <c r="O13" s="927"/>
      <c r="P13" s="927"/>
      <c r="Q13" s="871"/>
      <c r="R13" s="871"/>
    </row>
    <row r="14" spans="1:39" ht="25.5">
      <c r="D14" s="45">
        <v>1</v>
      </c>
      <c r="E14" s="57"/>
      <c r="F14" s="50"/>
      <c r="G14" s="46" t="s">
        <v>245</v>
      </c>
      <c r="H14" s="47"/>
      <c r="I14" s="48"/>
      <c r="J14" s="9"/>
      <c r="K14" s="9"/>
      <c r="L14" s="9"/>
      <c r="M14" s="9"/>
      <c r="N14" s="926"/>
      <c r="O14" s="927"/>
      <c r="P14" s="927"/>
      <c r="Q14" s="871"/>
      <c r="R14" s="871"/>
    </row>
    <row r="15" spans="1:39">
      <c r="D15" s="49" t="s">
        <v>20</v>
      </c>
      <c r="E15" s="199"/>
      <c r="F15" s="194"/>
      <c r="G15" s="12" t="s">
        <v>182</v>
      </c>
      <c r="H15" s="47"/>
      <c r="I15" s="48"/>
      <c r="J15" s="54"/>
      <c r="K15" s="54"/>
      <c r="L15" s="54"/>
      <c r="M15" s="54"/>
      <c r="N15" s="926"/>
      <c r="O15" s="927"/>
      <c r="P15" s="927"/>
      <c r="Q15" s="871"/>
      <c r="R15" s="871"/>
    </row>
    <row r="16" spans="1:39" s="610" customFormat="1" ht="38.25">
      <c r="A16" s="915"/>
      <c r="B16" s="919"/>
      <c r="C16" s="913" t="s">
        <v>2455</v>
      </c>
      <c r="D16" s="49" t="s">
        <v>153</v>
      </c>
      <c r="E16" s="805" t="s">
        <v>243</v>
      </c>
      <c r="F16" s="195"/>
      <c r="G16" s="64" t="s">
        <v>244</v>
      </c>
      <c r="H16" s="7" t="s">
        <v>110</v>
      </c>
      <c r="I16" s="27">
        <v>371</v>
      </c>
      <c r="J16" s="9">
        <v>4.4000000000000004</v>
      </c>
      <c r="K16" s="9">
        <f t="shared" ref="K16:K21" si="0">J16*$S$3</f>
        <v>5.7640000000000011</v>
      </c>
      <c r="L16" s="9">
        <v>16.8</v>
      </c>
      <c r="M16" s="9">
        <f>ROUND(K16*(L16/100+1),2)</f>
        <v>6.73</v>
      </c>
      <c r="N16" s="899">
        <v>0</v>
      </c>
      <c r="O16" s="900">
        <f>I16-N16</f>
        <v>371</v>
      </c>
      <c r="P16" s="901">
        <f>ROUND(O16*M16,2)</f>
        <v>2496.83</v>
      </c>
      <c r="Q16" s="873"/>
      <c r="R16" s="873"/>
      <c r="S16" s="840"/>
      <c r="T16" s="853"/>
    </row>
    <row r="17" spans="1:20" s="610" customFormat="1" ht="51">
      <c r="A17" s="915"/>
      <c r="B17" s="919"/>
      <c r="C17" s="913" t="s">
        <v>2455</v>
      </c>
      <c r="D17" s="49" t="s">
        <v>151</v>
      </c>
      <c r="E17" s="805" t="s">
        <v>241</v>
      </c>
      <c r="F17" s="195"/>
      <c r="G17" s="12" t="s">
        <v>242</v>
      </c>
      <c r="H17" s="18" t="s">
        <v>110</v>
      </c>
      <c r="I17" s="36">
        <v>75</v>
      </c>
      <c r="J17" s="9">
        <v>3.26</v>
      </c>
      <c r="K17" s="9">
        <f t="shared" si="0"/>
        <v>4.2706</v>
      </c>
      <c r="L17" s="9">
        <v>16.8</v>
      </c>
      <c r="M17" s="9">
        <f t="shared" ref="M17:M80" si="1">ROUND(K17*(L17/100+1),2)</f>
        <v>4.99</v>
      </c>
      <c r="N17" s="899">
        <v>0</v>
      </c>
      <c r="O17" s="900">
        <f t="shared" ref="O17:O21" si="2">I17-N17</f>
        <v>75</v>
      </c>
      <c r="P17" s="901">
        <f t="shared" ref="P17:P80" si="3">ROUND(O17*M17,2)</f>
        <v>374.25</v>
      </c>
      <c r="Q17" s="873"/>
      <c r="R17" s="873"/>
      <c r="S17" s="840"/>
      <c r="T17" s="853"/>
    </row>
    <row r="18" spans="1:20" s="610" customFormat="1" ht="38.25">
      <c r="A18" s="915"/>
      <c r="B18" s="919"/>
      <c r="C18" s="913" t="s">
        <v>2455</v>
      </c>
      <c r="D18" s="49" t="s">
        <v>240</v>
      </c>
      <c r="E18" s="805" t="s">
        <v>238</v>
      </c>
      <c r="F18" s="195"/>
      <c r="G18" s="12" t="s">
        <v>239</v>
      </c>
      <c r="H18" s="18" t="s">
        <v>110</v>
      </c>
      <c r="I18" s="36">
        <v>155</v>
      </c>
      <c r="J18" s="9">
        <v>7.17</v>
      </c>
      <c r="K18" s="9">
        <f t="shared" si="0"/>
        <v>9.3926999999999996</v>
      </c>
      <c r="L18" s="9">
        <v>16.8</v>
      </c>
      <c r="M18" s="9">
        <f t="shared" si="1"/>
        <v>10.97</v>
      </c>
      <c r="N18" s="899">
        <v>0</v>
      </c>
      <c r="O18" s="900">
        <f t="shared" si="2"/>
        <v>155</v>
      </c>
      <c r="P18" s="901">
        <f t="shared" si="3"/>
        <v>1700.35</v>
      </c>
      <c r="Q18" s="873"/>
      <c r="R18" s="873"/>
      <c r="S18" s="840"/>
      <c r="T18" s="853"/>
    </row>
    <row r="19" spans="1:20" s="610" customFormat="1" ht="38.25">
      <c r="A19" s="915"/>
      <c r="B19" s="919"/>
      <c r="C19" s="913" t="s">
        <v>2455</v>
      </c>
      <c r="D19" s="49" t="s">
        <v>237</v>
      </c>
      <c r="E19" s="57" t="s">
        <v>235</v>
      </c>
      <c r="F19" s="50"/>
      <c r="G19" s="12" t="s">
        <v>236</v>
      </c>
      <c r="H19" s="18" t="s">
        <v>110</v>
      </c>
      <c r="I19" s="36">
        <v>325</v>
      </c>
      <c r="J19" s="9">
        <v>10.23</v>
      </c>
      <c r="K19" s="9">
        <f t="shared" si="0"/>
        <v>13.401300000000001</v>
      </c>
      <c r="L19" s="9">
        <v>16.8</v>
      </c>
      <c r="M19" s="9">
        <f t="shared" si="1"/>
        <v>15.65</v>
      </c>
      <c r="N19" s="899">
        <v>0</v>
      </c>
      <c r="O19" s="900">
        <f t="shared" si="2"/>
        <v>325</v>
      </c>
      <c r="P19" s="901">
        <f t="shared" si="3"/>
        <v>5086.25</v>
      </c>
      <c r="Q19" s="873"/>
      <c r="R19" s="873"/>
      <c r="S19" s="840"/>
      <c r="T19" s="853"/>
    </row>
    <row r="20" spans="1:20" s="610" customFormat="1" ht="38.25">
      <c r="A20" s="915"/>
      <c r="B20" s="919"/>
      <c r="C20" s="913" t="s">
        <v>2455</v>
      </c>
      <c r="D20" s="49" t="s">
        <v>234</v>
      </c>
      <c r="E20" s="57" t="s">
        <v>232</v>
      </c>
      <c r="F20" s="50"/>
      <c r="G20" s="12" t="s">
        <v>233</v>
      </c>
      <c r="H20" s="18" t="s">
        <v>110</v>
      </c>
      <c r="I20" s="36">
        <v>355</v>
      </c>
      <c r="J20" s="9">
        <v>12.24</v>
      </c>
      <c r="K20" s="9">
        <f t="shared" si="0"/>
        <v>16.034400000000002</v>
      </c>
      <c r="L20" s="9">
        <v>16.8</v>
      </c>
      <c r="M20" s="9">
        <f t="shared" si="1"/>
        <v>18.73</v>
      </c>
      <c r="N20" s="899">
        <v>0</v>
      </c>
      <c r="O20" s="900">
        <f t="shared" si="2"/>
        <v>355</v>
      </c>
      <c r="P20" s="901">
        <f t="shared" si="3"/>
        <v>6649.15</v>
      </c>
      <c r="Q20" s="873"/>
      <c r="R20" s="873"/>
      <c r="S20" s="840"/>
      <c r="T20" s="853"/>
    </row>
    <row r="21" spans="1:20" s="610" customFormat="1" ht="38.25">
      <c r="A21" s="915"/>
      <c r="B21" s="919"/>
      <c r="C21" s="913" t="s">
        <v>2455</v>
      </c>
      <c r="D21" s="49" t="s">
        <v>231</v>
      </c>
      <c r="E21" s="57" t="s">
        <v>229</v>
      </c>
      <c r="F21" s="50"/>
      <c r="G21" s="12" t="s">
        <v>230</v>
      </c>
      <c r="H21" s="18" t="s">
        <v>110</v>
      </c>
      <c r="I21" s="36">
        <v>45</v>
      </c>
      <c r="J21" s="9">
        <v>4.26</v>
      </c>
      <c r="K21" s="9">
        <f t="shared" si="0"/>
        <v>5.5805999999999996</v>
      </c>
      <c r="L21" s="9">
        <v>16.8</v>
      </c>
      <c r="M21" s="9">
        <f t="shared" si="1"/>
        <v>6.52</v>
      </c>
      <c r="N21" s="899">
        <v>0</v>
      </c>
      <c r="O21" s="900">
        <f t="shared" si="2"/>
        <v>45</v>
      </c>
      <c r="P21" s="901">
        <f t="shared" si="3"/>
        <v>293.39999999999998</v>
      </c>
      <c r="Q21" s="873"/>
      <c r="R21" s="873"/>
      <c r="S21" s="840"/>
      <c r="T21" s="853"/>
    </row>
    <row r="22" spans="1:20">
      <c r="D22" s="49"/>
      <c r="E22" s="57"/>
      <c r="F22" s="50"/>
      <c r="G22" s="12"/>
      <c r="H22" s="18"/>
      <c r="I22" s="36"/>
      <c r="J22" s="9"/>
      <c r="K22" s="9"/>
      <c r="L22" s="9"/>
      <c r="M22" s="9"/>
      <c r="N22" s="899"/>
      <c r="O22" s="900"/>
      <c r="P22" s="901"/>
      <c r="Q22" s="874"/>
      <c r="R22" s="874"/>
      <c r="S22" s="841"/>
      <c r="T22" s="854"/>
    </row>
    <row r="23" spans="1:20">
      <c r="D23" s="49"/>
      <c r="E23" s="57"/>
      <c r="F23" s="50"/>
      <c r="G23" s="12"/>
      <c r="H23" s="18"/>
      <c r="I23" s="36"/>
      <c r="J23" s="9"/>
      <c r="K23" s="9"/>
      <c r="L23" s="9"/>
      <c r="M23" s="9"/>
      <c r="N23" s="899"/>
      <c r="O23" s="900"/>
      <c r="P23" s="901"/>
      <c r="Q23" s="874"/>
      <c r="R23" s="874"/>
      <c r="S23" s="841"/>
      <c r="T23" s="854"/>
    </row>
    <row r="24" spans="1:20" s="610" customFormat="1" ht="51">
      <c r="A24" s="915"/>
      <c r="B24" s="919"/>
      <c r="C24" s="913" t="s">
        <v>2455</v>
      </c>
      <c r="D24" s="49" t="s">
        <v>228</v>
      </c>
      <c r="E24" s="805" t="s">
        <v>226</v>
      </c>
      <c r="F24" s="195"/>
      <c r="G24" s="12" t="s">
        <v>227</v>
      </c>
      <c r="H24" s="18" t="s">
        <v>110</v>
      </c>
      <c r="I24" s="36">
        <v>780</v>
      </c>
      <c r="J24" s="9">
        <v>16.04</v>
      </c>
      <c r="K24" s="9">
        <f>J24*$S$3</f>
        <v>21.0124</v>
      </c>
      <c r="L24" s="9">
        <v>16.8</v>
      </c>
      <c r="M24" s="9">
        <f t="shared" si="1"/>
        <v>24.54</v>
      </c>
      <c r="N24" s="899">
        <v>0</v>
      </c>
      <c r="O24" s="900">
        <f t="shared" ref="O24:O37" si="4">I24-N24</f>
        <v>780</v>
      </c>
      <c r="P24" s="901">
        <f t="shared" si="3"/>
        <v>19141.2</v>
      </c>
      <c r="Q24" s="873"/>
      <c r="R24" s="873"/>
      <c r="S24" s="840"/>
      <c r="T24" s="853"/>
    </row>
    <row r="25" spans="1:20" s="610" customFormat="1" ht="51">
      <c r="A25" s="915"/>
      <c r="B25" s="919"/>
      <c r="C25" s="913" t="s">
        <v>2455</v>
      </c>
      <c r="D25" s="49" t="s">
        <v>225</v>
      </c>
      <c r="E25" s="57" t="s">
        <v>223</v>
      </c>
      <c r="F25" s="50"/>
      <c r="G25" s="12" t="s">
        <v>224</v>
      </c>
      <c r="H25" s="18" t="s">
        <v>110</v>
      </c>
      <c r="I25" s="36">
        <v>135</v>
      </c>
      <c r="J25" s="9">
        <v>25.07</v>
      </c>
      <c r="K25" s="9">
        <f>J25*$S$3</f>
        <v>32.841700000000003</v>
      </c>
      <c r="L25" s="9">
        <v>16.8</v>
      </c>
      <c r="M25" s="9">
        <f t="shared" si="1"/>
        <v>38.36</v>
      </c>
      <c r="N25" s="899">
        <v>0</v>
      </c>
      <c r="O25" s="900">
        <f t="shared" si="4"/>
        <v>135</v>
      </c>
      <c r="P25" s="901">
        <f t="shared" si="3"/>
        <v>5178.6000000000004</v>
      </c>
      <c r="Q25" s="873"/>
      <c r="R25" s="873"/>
      <c r="S25" s="840"/>
      <c r="T25" s="853"/>
    </row>
    <row r="26" spans="1:20" s="610" customFormat="1" ht="51">
      <c r="A26" s="915"/>
      <c r="B26" s="919"/>
      <c r="C26" s="913" t="s">
        <v>2455</v>
      </c>
      <c r="D26" s="49" t="s">
        <v>222</v>
      </c>
      <c r="E26" s="57" t="s">
        <v>220</v>
      </c>
      <c r="F26" s="50"/>
      <c r="G26" s="12" t="s">
        <v>221</v>
      </c>
      <c r="H26" s="18" t="s">
        <v>110</v>
      </c>
      <c r="I26" s="36">
        <v>535</v>
      </c>
      <c r="J26" s="9">
        <v>53.07</v>
      </c>
      <c r="K26" s="9">
        <f>J26*$S$3</f>
        <v>69.52170000000001</v>
      </c>
      <c r="L26" s="9">
        <v>16.8</v>
      </c>
      <c r="M26" s="9">
        <f t="shared" si="1"/>
        <v>81.2</v>
      </c>
      <c r="N26" s="899">
        <v>0</v>
      </c>
      <c r="O26" s="900">
        <f t="shared" si="4"/>
        <v>535</v>
      </c>
      <c r="P26" s="901">
        <f t="shared" si="3"/>
        <v>43442</v>
      </c>
      <c r="Q26" s="873"/>
      <c r="R26" s="873"/>
      <c r="S26" s="840"/>
      <c r="T26" s="853"/>
    </row>
    <row r="27" spans="1:20" s="610" customFormat="1" ht="38.25">
      <c r="A27" s="915"/>
      <c r="B27" s="919"/>
      <c r="C27" s="913" t="s">
        <v>2455</v>
      </c>
      <c r="D27" s="49" t="s">
        <v>219</v>
      </c>
      <c r="E27" s="57" t="s">
        <v>217</v>
      </c>
      <c r="F27" s="50"/>
      <c r="G27" s="12" t="s">
        <v>218</v>
      </c>
      <c r="H27" s="18" t="s">
        <v>110</v>
      </c>
      <c r="I27" s="36">
        <v>315</v>
      </c>
      <c r="J27" s="9">
        <v>6.51</v>
      </c>
      <c r="K27" s="9">
        <f>J27*$S$3</f>
        <v>8.5281000000000002</v>
      </c>
      <c r="L27" s="9">
        <v>16.8</v>
      </c>
      <c r="M27" s="9">
        <f t="shared" si="1"/>
        <v>9.9600000000000009</v>
      </c>
      <c r="N27" s="899">
        <v>0</v>
      </c>
      <c r="O27" s="900">
        <f t="shared" si="4"/>
        <v>315</v>
      </c>
      <c r="P27" s="901">
        <f t="shared" si="3"/>
        <v>3137.4</v>
      </c>
      <c r="Q27" s="873"/>
      <c r="R27" s="873"/>
      <c r="S27" s="840"/>
      <c r="T27" s="853"/>
    </row>
    <row r="28" spans="1:20" s="610" customFormat="1" ht="38.25">
      <c r="A28" s="915"/>
      <c r="B28" s="919"/>
      <c r="C28" s="913" t="s">
        <v>2455</v>
      </c>
      <c r="D28" s="49" t="s">
        <v>216</v>
      </c>
      <c r="E28" s="57" t="s">
        <v>214</v>
      </c>
      <c r="F28" s="50"/>
      <c r="G28" s="12" t="s">
        <v>215</v>
      </c>
      <c r="H28" s="18" t="s">
        <v>110</v>
      </c>
      <c r="I28" s="36">
        <v>810</v>
      </c>
      <c r="J28" s="9">
        <v>3.63</v>
      </c>
      <c r="K28" s="9">
        <f>J28*$S$3</f>
        <v>4.7553000000000001</v>
      </c>
      <c r="L28" s="9">
        <v>16.8</v>
      </c>
      <c r="M28" s="9">
        <f t="shared" si="1"/>
        <v>5.55</v>
      </c>
      <c r="N28" s="899">
        <v>0</v>
      </c>
      <c r="O28" s="900">
        <f t="shared" si="4"/>
        <v>810</v>
      </c>
      <c r="P28" s="901">
        <f t="shared" si="3"/>
        <v>4495.5</v>
      </c>
      <c r="Q28" s="873"/>
      <c r="R28" s="873"/>
      <c r="S28" s="840"/>
      <c r="T28" s="853"/>
    </row>
    <row r="29" spans="1:20">
      <c r="D29" s="49" t="s">
        <v>19</v>
      </c>
      <c r="E29" s="57"/>
      <c r="F29" s="50"/>
      <c r="G29" s="12" t="s">
        <v>168</v>
      </c>
      <c r="H29" s="18"/>
      <c r="I29" s="36"/>
      <c r="J29" s="9"/>
      <c r="K29" s="9"/>
      <c r="L29" s="54"/>
      <c r="M29" s="9"/>
      <c r="N29" s="899"/>
      <c r="O29" s="900"/>
      <c r="P29" s="901"/>
      <c r="Q29" s="874"/>
      <c r="R29" s="874"/>
      <c r="S29" s="841"/>
      <c r="T29" s="854"/>
    </row>
    <row r="30" spans="1:20" s="344" customFormat="1" ht="25.5">
      <c r="A30" s="915"/>
      <c r="B30" s="919"/>
      <c r="C30" s="913"/>
      <c r="D30" s="49" t="s">
        <v>147</v>
      </c>
      <c r="E30" s="57">
        <f>'[3]Plan Tron'!B204</f>
        <v>21129</v>
      </c>
      <c r="F30" s="805" t="str">
        <f>'[3]Plan Tron'!C204</f>
        <v>SINAPI (INSUMO)</v>
      </c>
      <c r="G30" s="643" t="str">
        <f>'[3]Plan Tron'!D204</f>
        <v>ELETRODUTO EM ACO GALVANIZADO ELETROLITICO, LEVE, DIAMETRO 1/2", PAREDE DE 0,90 MM</v>
      </c>
      <c r="H30" s="57" t="str">
        <f>'[3]Plan Tron'!E204</f>
        <v>M</v>
      </c>
      <c r="I30" s="36">
        <v>3</v>
      </c>
      <c r="J30" s="9">
        <v>6.34</v>
      </c>
      <c r="K30" s="9">
        <f>'[3]Plan Tron'!F204</f>
        <v>4.32</v>
      </c>
      <c r="L30" s="9">
        <v>16.8</v>
      </c>
      <c r="M30" s="9">
        <f t="shared" si="1"/>
        <v>5.05</v>
      </c>
      <c r="N30" s="899">
        <v>0</v>
      </c>
      <c r="O30" s="900">
        <f t="shared" si="4"/>
        <v>3</v>
      </c>
      <c r="P30" s="901">
        <f t="shared" si="3"/>
        <v>15.15</v>
      </c>
      <c r="Q30" s="874"/>
      <c r="R30" s="874"/>
      <c r="S30" s="841"/>
      <c r="T30" s="854"/>
    </row>
    <row r="31" spans="1:20" s="344" customFormat="1" ht="25.5">
      <c r="A31" s="915"/>
      <c r="B31" s="919"/>
      <c r="C31" s="913"/>
      <c r="D31" s="49" t="s">
        <v>213</v>
      </c>
      <c r="E31" s="57">
        <f>'[3]Plan Tron'!B205</f>
        <v>21132</v>
      </c>
      <c r="F31" s="805" t="str">
        <f>'[3]Plan Tron'!C205</f>
        <v>SINAPI (INSUMO)</v>
      </c>
      <c r="G31" s="643" t="str">
        <f>'[3]Plan Tron'!D205</f>
        <v>ELETRODUTO EM ACO GALVANIZADO ELETROLITICO, PESADO, DIAMETRO 4", PAREDE DE 2,25 MM</v>
      </c>
      <c r="H31" s="57" t="str">
        <f>'[3]Plan Tron'!E205</f>
        <v>M</v>
      </c>
      <c r="I31" s="36">
        <v>15</v>
      </c>
      <c r="J31" s="9">
        <v>60.84</v>
      </c>
      <c r="K31" s="9">
        <f>'[3]Plan Tron'!F205</f>
        <v>55.71</v>
      </c>
      <c r="L31" s="9">
        <v>16.8</v>
      </c>
      <c r="M31" s="9">
        <f t="shared" si="1"/>
        <v>65.069999999999993</v>
      </c>
      <c r="N31" s="899">
        <v>0</v>
      </c>
      <c r="O31" s="900">
        <f t="shared" si="4"/>
        <v>15</v>
      </c>
      <c r="P31" s="901">
        <f t="shared" si="3"/>
        <v>976.05</v>
      </c>
      <c r="Q31" s="874"/>
      <c r="R31" s="874"/>
      <c r="S31" s="841"/>
      <c r="T31" s="854"/>
    </row>
    <row r="32" spans="1:20" s="344" customFormat="1" ht="25.5">
      <c r="A32" s="915"/>
      <c r="B32" s="919"/>
      <c r="C32" s="913"/>
      <c r="D32" s="49" t="s">
        <v>212</v>
      </c>
      <c r="E32" s="57">
        <f>'[3]Plan Tron'!B206</f>
        <v>2446</v>
      </c>
      <c r="F32" s="805" t="str">
        <f>'[3]Plan Tron'!C206</f>
        <v>SINAPI (INSUMO)</v>
      </c>
      <c r="G32" s="643" t="str">
        <f>'[3]Plan Tron'!D206</f>
        <v>ELETRODUTO 2" TIPO KANALEX OU EQUIVALENTE</v>
      </c>
      <c r="H32" s="57" t="str">
        <f>'[3]Plan Tron'!E206</f>
        <v>M</v>
      </c>
      <c r="I32" s="36">
        <v>675</v>
      </c>
      <c r="J32" s="9">
        <v>8.0500000000000007</v>
      </c>
      <c r="K32" s="9">
        <f>'[3]Plan Tron'!F206</f>
        <v>8.3000000000000007</v>
      </c>
      <c r="L32" s="9">
        <v>16.8</v>
      </c>
      <c r="M32" s="9">
        <f t="shared" si="1"/>
        <v>9.69</v>
      </c>
      <c r="N32" s="899">
        <v>0</v>
      </c>
      <c r="O32" s="900">
        <f t="shared" si="4"/>
        <v>675</v>
      </c>
      <c r="P32" s="901">
        <f t="shared" si="3"/>
        <v>6540.75</v>
      </c>
      <c r="Q32" s="874"/>
      <c r="R32" s="874"/>
      <c r="S32" s="841"/>
      <c r="T32" s="854"/>
    </row>
    <row r="33" spans="1:25" s="610" customFormat="1">
      <c r="A33" s="915"/>
      <c r="B33" s="919"/>
      <c r="C33" s="913"/>
      <c r="D33" s="49" t="s">
        <v>211</v>
      </c>
      <c r="E33" s="57" t="s">
        <v>209</v>
      </c>
      <c r="F33" s="50"/>
      <c r="G33" s="12" t="s">
        <v>210</v>
      </c>
      <c r="H33" s="18" t="s">
        <v>110</v>
      </c>
      <c r="I33" s="36">
        <v>3200</v>
      </c>
      <c r="J33" s="9">
        <v>3.43</v>
      </c>
      <c r="K33" s="9">
        <f>J33*$S$3</f>
        <v>4.4933000000000005</v>
      </c>
      <c r="L33" s="9">
        <v>16.8</v>
      </c>
      <c r="M33" s="9">
        <f t="shared" si="1"/>
        <v>5.25</v>
      </c>
      <c r="N33" s="899">
        <v>0</v>
      </c>
      <c r="O33" s="900">
        <f t="shared" si="4"/>
        <v>3200</v>
      </c>
      <c r="P33" s="901">
        <f t="shared" si="3"/>
        <v>16800</v>
      </c>
      <c r="Q33" s="873"/>
      <c r="R33" s="873"/>
      <c r="S33" s="840"/>
      <c r="T33" s="853"/>
    </row>
    <row r="34" spans="1:25" s="610" customFormat="1">
      <c r="A34" s="915"/>
      <c r="B34" s="919"/>
      <c r="C34" s="913"/>
      <c r="D34" s="49" t="s">
        <v>208</v>
      </c>
      <c r="E34" s="57" t="s">
        <v>206</v>
      </c>
      <c r="F34" s="50"/>
      <c r="G34" s="12" t="s">
        <v>207</v>
      </c>
      <c r="H34" s="18" t="s">
        <v>110</v>
      </c>
      <c r="I34" s="36">
        <v>75</v>
      </c>
      <c r="J34" s="9">
        <v>25.9</v>
      </c>
      <c r="K34" s="9">
        <f>J34*$S$3</f>
        <v>33.929000000000002</v>
      </c>
      <c r="L34" s="9">
        <v>16.8</v>
      </c>
      <c r="M34" s="9">
        <f t="shared" si="1"/>
        <v>39.630000000000003</v>
      </c>
      <c r="N34" s="899">
        <v>0</v>
      </c>
      <c r="O34" s="900">
        <f t="shared" si="4"/>
        <v>75</v>
      </c>
      <c r="P34" s="901">
        <f t="shared" si="3"/>
        <v>2972.25</v>
      </c>
      <c r="Q34" s="873"/>
      <c r="R34" s="873"/>
      <c r="S34" s="840"/>
      <c r="T34" s="853"/>
    </row>
    <row r="35" spans="1:25" s="344" customFormat="1" ht="25.5">
      <c r="A35" s="915"/>
      <c r="B35" s="919"/>
      <c r="C35" s="913"/>
      <c r="D35" s="49" t="s">
        <v>205</v>
      </c>
      <c r="E35" s="57">
        <f>'[3]Plan Tron'!B207</f>
        <v>2668</v>
      </c>
      <c r="F35" s="805" t="str">
        <f>'[3]Plan Tron'!C207</f>
        <v>SINAPI (INSUMO)</v>
      </c>
      <c r="G35" s="644" t="str">
        <f>'[3]Plan Tron'!D207</f>
        <v xml:space="preserve">TAMPAO/TERMINAL 2" P/ DUTOS TP KANAFLEX </v>
      </c>
      <c r="H35" s="57" t="str">
        <f>'[3]Plan Tron'!E207</f>
        <v>UN.</v>
      </c>
      <c r="I35" s="27">
        <v>116</v>
      </c>
      <c r="J35" s="9">
        <v>3.44</v>
      </c>
      <c r="K35" s="9">
        <f>'[3]Plan Tron'!F207</f>
        <v>3.54</v>
      </c>
      <c r="L35" s="9">
        <v>16.8</v>
      </c>
      <c r="M35" s="9">
        <f t="shared" si="1"/>
        <v>4.13</v>
      </c>
      <c r="N35" s="899">
        <v>0</v>
      </c>
      <c r="O35" s="900">
        <f t="shared" si="4"/>
        <v>116</v>
      </c>
      <c r="P35" s="901">
        <f t="shared" si="3"/>
        <v>479.08</v>
      </c>
      <c r="Q35" s="874"/>
      <c r="R35" s="874"/>
      <c r="S35" s="841"/>
      <c r="T35" s="854"/>
    </row>
    <row r="36" spans="1:25" s="344" customFormat="1" ht="25.5">
      <c r="A36" s="915"/>
      <c r="B36" s="919"/>
      <c r="C36" s="913"/>
      <c r="D36" s="49" t="s">
        <v>204</v>
      </c>
      <c r="E36" s="57">
        <f>'[3]Plan Tron'!B208</f>
        <v>2662</v>
      </c>
      <c r="F36" s="805" t="str">
        <f>'[3]Plan Tron'!C208</f>
        <v>SINAPI (INSUMO)</v>
      </c>
      <c r="G36" s="644" t="str">
        <f>'[3]Plan Tron'!D208</f>
        <v xml:space="preserve">TAMPAO/TERMINAL 4" P/ DUTOS TP KANAFLEX </v>
      </c>
      <c r="H36" s="57" t="str">
        <f>'[3]Plan Tron'!E208</f>
        <v>UN.</v>
      </c>
      <c r="I36" s="27">
        <v>428</v>
      </c>
      <c r="J36" s="9">
        <v>9.51</v>
      </c>
      <c r="K36" s="9">
        <f>'[3]Plan Tron'!F208</f>
        <v>9.8000000000000007</v>
      </c>
      <c r="L36" s="9">
        <v>16.8</v>
      </c>
      <c r="M36" s="9">
        <f t="shared" si="1"/>
        <v>11.45</v>
      </c>
      <c r="N36" s="899">
        <v>0</v>
      </c>
      <c r="O36" s="900">
        <f t="shared" si="4"/>
        <v>428</v>
      </c>
      <c r="P36" s="901">
        <f t="shared" si="3"/>
        <v>4900.6000000000004</v>
      </c>
      <c r="Q36" s="874"/>
      <c r="R36" s="874"/>
      <c r="S36" s="841"/>
      <c r="T36" s="854"/>
    </row>
    <row r="37" spans="1:25" s="800" customFormat="1" ht="27.75" customHeight="1">
      <c r="A37" s="915"/>
      <c r="B37" s="919"/>
      <c r="C37" s="913"/>
      <c r="D37" s="49" t="s">
        <v>203</v>
      </c>
      <c r="E37" s="57">
        <v>2665</v>
      </c>
      <c r="F37" s="805" t="s">
        <v>2017</v>
      </c>
      <c r="G37" s="129" t="s">
        <v>202</v>
      </c>
      <c r="H37" s="7" t="s">
        <v>158</v>
      </c>
      <c r="I37" s="27">
        <v>28</v>
      </c>
      <c r="J37" s="9">
        <v>17.559999999999999</v>
      </c>
      <c r="K37" s="9">
        <f>J37*$S$3</f>
        <v>23.003599999999999</v>
      </c>
      <c r="L37" s="9">
        <v>16.8</v>
      </c>
      <c r="M37" s="9">
        <f t="shared" si="1"/>
        <v>26.87</v>
      </c>
      <c r="N37" s="899">
        <v>0</v>
      </c>
      <c r="O37" s="900">
        <f t="shared" si="4"/>
        <v>28</v>
      </c>
      <c r="P37" s="901">
        <f t="shared" si="3"/>
        <v>752.36</v>
      </c>
      <c r="Q37" s="875"/>
      <c r="R37" s="875"/>
      <c r="S37" s="844"/>
      <c r="T37" s="855"/>
      <c r="U37" s="1055"/>
      <c r="V37" s="1056"/>
      <c r="W37" s="1056"/>
      <c r="X37" s="1056"/>
      <c r="Y37" s="1056"/>
    </row>
    <row r="38" spans="1:25">
      <c r="D38" s="49"/>
      <c r="E38" s="57"/>
      <c r="F38" s="50"/>
      <c r="G38" s="12"/>
      <c r="H38" s="7"/>
      <c r="I38" s="27"/>
      <c r="J38" s="9"/>
      <c r="K38" s="9"/>
      <c r="L38" s="9"/>
      <c r="M38" s="9"/>
      <c r="N38" s="899"/>
      <c r="O38" s="900"/>
      <c r="P38" s="901"/>
      <c r="Q38" s="874"/>
      <c r="R38" s="874"/>
      <c r="S38" s="841"/>
      <c r="T38" s="854"/>
    </row>
    <row r="39" spans="1:25">
      <c r="D39" s="49"/>
      <c r="E39" s="57"/>
      <c r="F39" s="50"/>
      <c r="G39" s="12"/>
      <c r="H39" s="7"/>
      <c r="I39" s="27"/>
      <c r="J39" s="9"/>
      <c r="K39" s="9"/>
      <c r="L39" s="9"/>
      <c r="M39" s="9"/>
      <c r="N39" s="899"/>
      <c r="O39" s="900"/>
      <c r="P39" s="901"/>
      <c r="Q39" s="874"/>
      <c r="R39" s="874"/>
      <c r="S39" s="841"/>
      <c r="T39" s="854"/>
    </row>
    <row r="40" spans="1:25">
      <c r="D40" s="49" t="s">
        <v>18</v>
      </c>
      <c r="E40" s="57"/>
      <c r="F40" s="50"/>
      <c r="G40" s="12" t="s">
        <v>163</v>
      </c>
      <c r="H40" s="7"/>
      <c r="I40" s="27"/>
      <c r="J40" s="9"/>
      <c r="K40" s="9"/>
      <c r="L40" s="54"/>
      <c r="M40" s="9"/>
      <c r="N40" s="899"/>
      <c r="O40" s="900"/>
      <c r="P40" s="901"/>
      <c r="Q40" s="874"/>
      <c r="R40" s="874"/>
      <c r="S40" s="841"/>
      <c r="T40" s="854"/>
    </row>
    <row r="41" spans="1:25" s="610" customFormat="1" ht="38.25">
      <c r="A41" s="915"/>
      <c r="B41" s="919"/>
      <c r="C41" s="913" t="s">
        <v>2455</v>
      </c>
      <c r="D41" s="49" t="s">
        <v>201</v>
      </c>
      <c r="E41" s="57" t="s">
        <v>199</v>
      </c>
      <c r="F41" s="50"/>
      <c r="G41" s="12" t="s">
        <v>200</v>
      </c>
      <c r="H41" s="7" t="s">
        <v>183</v>
      </c>
      <c r="I41" s="27">
        <v>26</v>
      </c>
      <c r="J41" s="9">
        <v>351.39</v>
      </c>
      <c r="K41" s="9">
        <f>J41*$S$3</f>
        <v>460.32089999999999</v>
      </c>
      <c r="L41" s="9">
        <v>16.8</v>
      </c>
      <c r="M41" s="9">
        <f t="shared" si="1"/>
        <v>537.65</v>
      </c>
      <c r="N41" s="899">
        <v>0</v>
      </c>
      <c r="O41" s="900">
        <f t="shared" ref="O41:O98" si="5">I41-N41</f>
        <v>26</v>
      </c>
      <c r="P41" s="901">
        <f t="shared" si="3"/>
        <v>13978.9</v>
      </c>
      <c r="Q41" s="873"/>
      <c r="R41" s="873"/>
      <c r="S41" s="840"/>
      <c r="T41" s="853"/>
    </row>
    <row r="42" spans="1:25" s="610" customFormat="1" ht="25.5">
      <c r="A42" s="915"/>
      <c r="B42" s="919"/>
      <c r="C42" s="913" t="s">
        <v>2455</v>
      </c>
      <c r="D42" s="49" t="s">
        <v>198</v>
      </c>
      <c r="E42" s="57" t="s">
        <v>196</v>
      </c>
      <c r="F42" s="50"/>
      <c r="G42" s="12" t="s">
        <v>197</v>
      </c>
      <c r="H42" s="7" t="s">
        <v>158</v>
      </c>
      <c r="I42" s="27">
        <v>26</v>
      </c>
      <c r="J42" s="9">
        <v>159.94999999999999</v>
      </c>
      <c r="K42" s="9">
        <f>J42*$S$3</f>
        <v>209.53449999999998</v>
      </c>
      <c r="L42" s="9">
        <v>16.8</v>
      </c>
      <c r="M42" s="9">
        <f t="shared" si="1"/>
        <v>244.74</v>
      </c>
      <c r="N42" s="899">
        <v>0</v>
      </c>
      <c r="O42" s="900">
        <f t="shared" si="5"/>
        <v>26</v>
      </c>
      <c r="P42" s="901">
        <f t="shared" si="3"/>
        <v>6363.24</v>
      </c>
      <c r="Q42" s="873"/>
      <c r="R42" s="873"/>
      <c r="S42" s="840"/>
      <c r="T42" s="853"/>
    </row>
    <row r="43" spans="1:25">
      <c r="D43" s="49" t="s">
        <v>17</v>
      </c>
      <c r="E43" s="57"/>
      <c r="F43" s="50"/>
      <c r="G43" s="12" t="s">
        <v>161</v>
      </c>
      <c r="H43" s="196"/>
      <c r="I43" s="197"/>
      <c r="J43" s="9"/>
      <c r="K43" s="9"/>
      <c r="L43" s="9"/>
      <c r="M43" s="9"/>
      <c r="N43" s="899"/>
      <c r="O43" s="900"/>
      <c r="P43" s="901"/>
      <c r="Q43" s="874"/>
      <c r="R43" s="874"/>
      <c r="S43" s="841"/>
      <c r="T43" s="854"/>
    </row>
    <row r="44" spans="1:25" s="610" customFormat="1" ht="25.5">
      <c r="A44" s="915"/>
      <c r="B44" s="919"/>
      <c r="C44" s="913" t="s">
        <v>2455</v>
      </c>
      <c r="D44" s="49" t="s">
        <v>195</v>
      </c>
      <c r="E44" s="57" t="s">
        <v>193</v>
      </c>
      <c r="F44" s="50"/>
      <c r="G44" s="64" t="s">
        <v>194</v>
      </c>
      <c r="H44" s="7" t="s">
        <v>158</v>
      </c>
      <c r="I44" s="27">
        <v>2</v>
      </c>
      <c r="J44" s="9">
        <v>180</v>
      </c>
      <c r="K44" s="9">
        <f>J44*$S$3</f>
        <v>235.8</v>
      </c>
      <c r="L44" s="9">
        <v>16.8</v>
      </c>
      <c r="M44" s="9">
        <f t="shared" si="1"/>
        <v>275.41000000000003</v>
      </c>
      <c r="N44" s="899">
        <v>0</v>
      </c>
      <c r="O44" s="900">
        <f t="shared" si="5"/>
        <v>2</v>
      </c>
      <c r="P44" s="901">
        <f t="shared" si="3"/>
        <v>550.82000000000005</v>
      </c>
      <c r="Q44" s="873"/>
      <c r="R44" s="873"/>
      <c r="S44" s="840"/>
      <c r="T44" s="853"/>
    </row>
    <row r="45" spans="1:25" s="610" customFormat="1">
      <c r="A45" s="915"/>
      <c r="B45" s="919"/>
      <c r="C45" s="913" t="s">
        <v>2455</v>
      </c>
      <c r="D45" s="49" t="s">
        <v>192</v>
      </c>
      <c r="E45" s="57" t="s">
        <v>190</v>
      </c>
      <c r="F45" s="50"/>
      <c r="G45" s="12" t="s">
        <v>191</v>
      </c>
      <c r="H45" s="7" t="s">
        <v>158</v>
      </c>
      <c r="I45" s="27">
        <v>78</v>
      </c>
      <c r="J45" s="9">
        <v>17.5</v>
      </c>
      <c r="K45" s="9">
        <f>J45*$S$3</f>
        <v>22.925000000000001</v>
      </c>
      <c r="L45" s="9">
        <v>16.8</v>
      </c>
      <c r="M45" s="9">
        <f t="shared" si="1"/>
        <v>26.78</v>
      </c>
      <c r="N45" s="899">
        <v>0</v>
      </c>
      <c r="O45" s="900">
        <f t="shared" si="5"/>
        <v>78</v>
      </c>
      <c r="P45" s="901">
        <f t="shared" si="3"/>
        <v>2088.84</v>
      </c>
      <c r="Q45" s="873"/>
      <c r="R45" s="873"/>
      <c r="S45" s="840"/>
      <c r="T45" s="853"/>
    </row>
    <row r="46" spans="1:25">
      <c r="D46" s="49"/>
      <c r="E46" s="57"/>
      <c r="F46" s="50"/>
      <c r="G46" s="12"/>
      <c r="H46" s="7"/>
      <c r="I46" s="27"/>
      <c r="J46" s="9"/>
      <c r="K46" s="9"/>
      <c r="L46" s="9"/>
      <c r="M46" s="9"/>
      <c r="N46" s="926"/>
      <c r="O46" s="900"/>
      <c r="P46" s="901"/>
      <c r="Q46" s="874"/>
      <c r="R46" s="874"/>
      <c r="S46" s="841"/>
      <c r="T46" s="854"/>
    </row>
    <row r="47" spans="1:25">
      <c r="D47" s="198"/>
      <c r="E47" s="805"/>
      <c r="F47" s="195"/>
      <c r="G47" s="196"/>
      <c r="H47" s="18"/>
      <c r="I47" s="36"/>
      <c r="J47" s="9"/>
      <c r="K47" s="9"/>
      <c r="L47" s="20"/>
      <c r="M47" s="9"/>
      <c r="N47" s="926"/>
      <c r="O47" s="900"/>
      <c r="P47" s="901"/>
      <c r="Q47" s="874"/>
      <c r="R47" s="874"/>
      <c r="S47" s="841"/>
      <c r="T47" s="854"/>
    </row>
    <row r="48" spans="1:25" s="299" customFormat="1">
      <c r="A48" s="918"/>
      <c r="B48" s="922"/>
      <c r="C48" s="924"/>
      <c r="D48" s="929"/>
      <c r="E48" s="930"/>
      <c r="F48" s="929"/>
      <c r="G48" s="930" t="s">
        <v>70</v>
      </c>
      <c r="H48" s="929">
        <f>D12</f>
        <v>3</v>
      </c>
      <c r="I48" s="929"/>
      <c r="J48" s="929"/>
      <c r="K48" s="929"/>
      <c r="L48" s="929"/>
      <c r="M48" s="9"/>
      <c r="N48" s="928"/>
      <c r="O48" s="900"/>
      <c r="P48" s="901">
        <f>SUM(P16:P45)</f>
        <v>148412.97</v>
      </c>
      <c r="Q48" s="874"/>
      <c r="R48" s="874"/>
      <c r="S48" s="841"/>
      <c r="T48" s="854"/>
    </row>
    <row r="49" spans="1:21">
      <c r="D49" s="44"/>
      <c r="E49" s="296"/>
      <c r="F49" s="44"/>
      <c r="G49" s="44"/>
      <c r="H49" s="44"/>
      <c r="I49" s="44"/>
      <c r="J49" s="302"/>
      <c r="K49" s="302"/>
      <c r="L49" s="44"/>
      <c r="M49" s="9"/>
      <c r="N49" s="375"/>
      <c r="O49" s="789"/>
      <c r="P49" s="863"/>
      <c r="Q49" s="874"/>
      <c r="R49" s="874"/>
      <c r="S49" s="841"/>
      <c r="T49" s="854"/>
    </row>
    <row r="50" spans="1:21" s="310" customFormat="1">
      <c r="A50" s="915"/>
      <c r="B50" s="919"/>
      <c r="C50" s="913"/>
      <c r="D50" s="108">
        <v>5</v>
      </c>
      <c r="E50" s="813"/>
      <c r="F50" s="109"/>
      <c r="G50" s="108" t="s">
        <v>1953</v>
      </c>
      <c r="H50" s="109"/>
      <c r="I50" s="109"/>
      <c r="J50" s="109"/>
      <c r="K50" s="109"/>
      <c r="L50" s="109"/>
      <c r="M50" s="791"/>
      <c r="N50" s="378"/>
      <c r="O50" s="792"/>
      <c r="P50" s="864"/>
      <c r="Q50" s="872"/>
      <c r="R50" s="872"/>
      <c r="S50" s="842"/>
      <c r="T50" s="852"/>
    </row>
    <row r="51" spans="1:21">
      <c r="D51" s="384"/>
      <c r="E51" s="931"/>
      <c r="F51" s="384"/>
      <c r="G51" s="384"/>
      <c r="H51" s="384"/>
      <c r="I51" s="384"/>
      <c r="J51" s="384"/>
      <c r="K51" s="384"/>
      <c r="L51" s="384"/>
      <c r="M51" s="9"/>
      <c r="N51" s="926"/>
      <c r="O51" s="900"/>
      <c r="P51" s="901"/>
      <c r="Q51" s="874"/>
      <c r="R51" s="874"/>
      <c r="S51" s="841"/>
      <c r="T51" s="854"/>
    </row>
    <row r="52" spans="1:21" ht="25.5">
      <c r="D52" s="45">
        <v>1</v>
      </c>
      <c r="E52" s="57"/>
      <c r="F52" s="57"/>
      <c r="G52" s="46" t="s">
        <v>307</v>
      </c>
      <c r="H52" s="47"/>
      <c r="I52" s="48"/>
      <c r="J52" s="9"/>
      <c r="K52" s="9"/>
      <c r="L52" s="9"/>
      <c r="M52" s="9"/>
      <c r="N52" s="926"/>
      <c r="O52" s="900"/>
      <c r="P52" s="901"/>
      <c r="Q52" s="874"/>
      <c r="R52" s="874"/>
      <c r="S52" s="841"/>
      <c r="T52" s="854"/>
    </row>
    <row r="53" spans="1:21" hidden="1">
      <c r="D53" s="49" t="s">
        <v>20</v>
      </c>
      <c r="E53" s="199"/>
      <c r="F53" s="199"/>
      <c r="G53" s="12" t="s">
        <v>306</v>
      </c>
      <c r="H53" s="47"/>
      <c r="I53" s="48"/>
      <c r="J53" s="54"/>
      <c r="K53" s="54"/>
      <c r="L53" s="54"/>
      <c r="M53" s="9"/>
      <c r="N53" s="926"/>
      <c r="O53" s="900"/>
      <c r="P53" s="901"/>
      <c r="Q53" s="874"/>
      <c r="R53" s="874"/>
      <c r="S53" s="841"/>
      <c r="T53" s="854"/>
    </row>
    <row r="54" spans="1:21" s="610" customFormat="1" hidden="1">
      <c r="A54" s="915"/>
      <c r="B54" s="919"/>
      <c r="C54" s="913" t="s">
        <v>2455</v>
      </c>
      <c r="D54" s="49" t="s">
        <v>153</v>
      </c>
      <c r="E54" s="57" t="s">
        <v>304</v>
      </c>
      <c r="F54" s="50"/>
      <c r="G54" s="12" t="s">
        <v>305</v>
      </c>
      <c r="H54" s="7" t="s">
        <v>303</v>
      </c>
      <c r="I54" s="27">
        <v>1</v>
      </c>
      <c r="J54" s="9">
        <v>1845</v>
      </c>
      <c r="K54" s="9">
        <f>J54*$S$3</f>
        <v>2416.9500000000003</v>
      </c>
      <c r="L54" s="9">
        <v>16.8</v>
      </c>
      <c r="M54" s="9">
        <f t="shared" si="1"/>
        <v>2823</v>
      </c>
      <c r="N54" s="899">
        <v>1</v>
      </c>
      <c r="O54" s="900">
        <f t="shared" si="5"/>
        <v>0</v>
      </c>
      <c r="P54" s="901">
        <f t="shared" si="3"/>
        <v>0</v>
      </c>
      <c r="Q54" s="873"/>
      <c r="R54" s="873"/>
      <c r="S54" s="840"/>
      <c r="T54" s="853"/>
    </row>
    <row r="55" spans="1:21" hidden="1">
      <c r="D55" s="49" t="s">
        <v>19</v>
      </c>
      <c r="E55" s="199"/>
      <c r="F55" s="194"/>
      <c r="G55" s="12" t="s">
        <v>302</v>
      </c>
      <c r="H55" s="47"/>
      <c r="I55" s="48"/>
      <c r="J55" s="54"/>
      <c r="K55" s="54"/>
      <c r="L55" s="9"/>
      <c r="M55" s="9"/>
      <c r="N55" s="899"/>
      <c r="O55" s="900"/>
      <c r="P55" s="901"/>
      <c r="Q55" s="874"/>
      <c r="R55" s="874"/>
      <c r="S55" s="841"/>
      <c r="T55" s="854"/>
    </row>
    <row r="56" spans="1:21" s="344" customFormat="1" ht="25.5" hidden="1">
      <c r="A56" s="915"/>
      <c r="B56" s="919"/>
      <c r="C56" s="913"/>
      <c r="D56" s="49" t="s">
        <v>147</v>
      </c>
      <c r="E56" s="57">
        <f>'[3]Plan Tron'!B209</f>
        <v>11272</v>
      </c>
      <c r="F56" s="805" t="str">
        <f>'[3]Plan Tron'!C209</f>
        <v>SINAPI (INSUMO)</v>
      </c>
      <c r="G56" s="643" t="str">
        <f>'[3]Plan Tron'!D209</f>
        <v>ALCA PREFORMADA DE DISTRIBUICAO, EM ACO GALVANIZADO, PARA CONDUTORES DE ALUMINIO AWG 2 (CAA 6/1 OU CA 7 FIOS)</v>
      </c>
      <c r="H56" s="57" t="str">
        <f>'[3]Plan Tron'!E209</f>
        <v>UN.</v>
      </c>
      <c r="I56" s="36">
        <v>3</v>
      </c>
      <c r="J56" s="9">
        <v>2.4500000000000002</v>
      </c>
      <c r="K56" s="9">
        <f>'[3]Plan Tron'!F209</f>
        <v>3.82</v>
      </c>
      <c r="L56" s="9">
        <v>16.8</v>
      </c>
      <c r="M56" s="9">
        <f t="shared" si="1"/>
        <v>4.46</v>
      </c>
      <c r="N56" s="899">
        <v>3</v>
      </c>
      <c r="O56" s="900">
        <f t="shared" si="5"/>
        <v>0</v>
      </c>
      <c r="P56" s="932" t="s">
        <v>76</v>
      </c>
      <c r="Q56" s="876"/>
      <c r="R56" s="876"/>
      <c r="S56" s="843"/>
      <c r="T56" s="856"/>
    </row>
    <row r="57" spans="1:21" s="344" customFormat="1" ht="25.5" hidden="1">
      <c r="A57" s="915"/>
      <c r="B57" s="919"/>
      <c r="C57" s="913"/>
      <c r="D57" s="49" t="s">
        <v>213</v>
      </c>
      <c r="E57" s="57">
        <f>'[3]Plan Tron'!B210</f>
        <v>25003</v>
      </c>
      <c r="F57" s="805" t="str">
        <f>'[3]Plan Tron'!C210</f>
        <v>SINAPI (INSUMO)</v>
      </c>
      <c r="G57" s="644" t="str">
        <f>'[3]Plan Tron'!D210</f>
        <v>CABO DE ALUMINIO NU SEM ALMA DE ACO, BITOLA 2 AWG</v>
      </c>
      <c r="H57" s="57" t="str">
        <f>'[3]Plan Tron'!E210</f>
        <v>KG</v>
      </c>
      <c r="I57" s="36">
        <v>10</v>
      </c>
      <c r="J57" s="9">
        <v>16.32</v>
      </c>
      <c r="K57" s="9">
        <f>'[3]Plan Tron'!F210</f>
        <v>23.18</v>
      </c>
      <c r="L57" s="9">
        <v>16.8</v>
      </c>
      <c r="M57" s="9">
        <f t="shared" si="1"/>
        <v>27.07</v>
      </c>
      <c r="N57" s="899">
        <v>10</v>
      </c>
      <c r="O57" s="900">
        <f t="shared" si="5"/>
        <v>0</v>
      </c>
      <c r="P57" s="901">
        <f t="shared" si="3"/>
        <v>0</v>
      </c>
      <c r="Q57" s="874"/>
      <c r="R57" s="874"/>
      <c r="S57" s="841"/>
      <c r="T57" s="854"/>
    </row>
    <row r="58" spans="1:21" s="344" customFormat="1" ht="25.5" hidden="1">
      <c r="A58" s="915"/>
      <c r="B58" s="919"/>
      <c r="C58" s="913"/>
      <c r="D58" s="49" t="s">
        <v>212</v>
      </c>
      <c r="E58" s="57">
        <f>'[3]Plan Tron'!B211</f>
        <v>5047</v>
      </c>
      <c r="F58" s="805" t="str">
        <f>'[3]Plan Tron'!C211</f>
        <v>SINAPI (INSUMO)</v>
      </c>
      <c r="G58" s="644" t="str">
        <f>'[3]Plan Tron'!D211</f>
        <v xml:space="preserve">CHAVE FUSIVEL DE DISTRIBUICAO 15,0KV/100A </v>
      </c>
      <c r="H58" s="57" t="str">
        <f>'[3]Plan Tron'!E211</f>
        <v>UN.</v>
      </c>
      <c r="I58" s="27">
        <v>3</v>
      </c>
      <c r="J58" s="9">
        <v>221.64</v>
      </c>
      <c r="K58" s="9">
        <f>'[3]Plan Tron'!F211</f>
        <v>253.37</v>
      </c>
      <c r="L58" s="9">
        <v>16.8</v>
      </c>
      <c r="M58" s="9">
        <f t="shared" si="1"/>
        <v>295.94</v>
      </c>
      <c r="N58" s="899">
        <v>3</v>
      </c>
      <c r="O58" s="900">
        <f t="shared" si="5"/>
        <v>0</v>
      </c>
      <c r="P58" s="901">
        <f t="shared" si="3"/>
        <v>0</v>
      </c>
      <c r="Q58" s="874"/>
      <c r="R58" s="874"/>
      <c r="S58" s="841"/>
      <c r="T58" s="854"/>
    </row>
    <row r="59" spans="1:21" s="344" customFormat="1" ht="25.5" hidden="1">
      <c r="A59" s="915"/>
      <c r="B59" s="919"/>
      <c r="C59" s="913"/>
      <c r="D59" s="49" t="s">
        <v>211</v>
      </c>
      <c r="E59" s="57">
        <f>'[3]Plan Tron'!B212</f>
        <v>13343</v>
      </c>
      <c r="F59" s="805" t="str">
        <f>'[3]Plan Tron'!C212</f>
        <v>SINAPI (INSUMO)</v>
      </c>
      <c r="G59" s="806" t="str">
        <f>'[3]Plan Tron'!D212</f>
        <v>KIT DE MATERIAIS PARA BRACADEIRA PARA FIXACAO EM POSTE CIRCULAR, CONTEM TRES FIXADORES E UM ROLO DE FITA DE 3 M EM ACO CARBONO</v>
      </c>
      <c r="H59" s="57" t="str">
        <f>'[3]Plan Tron'!E212</f>
        <v>UN.</v>
      </c>
      <c r="I59" s="27">
        <v>9</v>
      </c>
      <c r="J59" s="9">
        <v>24.52</v>
      </c>
      <c r="K59" s="9">
        <f>'[3]Plan Tron'!F212</f>
        <v>30.08</v>
      </c>
      <c r="L59" s="9">
        <v>16.8</v>
      </c>
      <c r="M59" s="9">
        <f t="shared" si="1"/>
        <v>35.130000000000003</v>
      </c>
      <c r="N59" s="899">
        <v>9</v>
      </c>
      <c r="O59" s="900">
        <f t="shared" si="5"/>
        <v>0</v>
      </c>
      <c r="P59" s="901">
        <f t="shared" si="3"/>
        <v>0</v>
      </c>
      <c r="Q59" s="874"/>
      <c r="R59" s="874"/>
      <c r="S59" s="841"/>
      <c r="T59" s="854"/>
    </row>
    <row r="60" spans="1:21" s="610" customFormat="1">
      <c r="A60" s="915"/>
      <c r="B60" s="919"/>
      <c r="C60" s="913" t="s">
        <v>2455</v>
      </c>
      <c r="D60" s="49" t="s">
        <v>208</v>
      </c>
      <c r="E60" s="57" t="s">
        <v>300</v>
      </c>
      <c r="F60" s="50"/>
      <c r="G60" s="12" t="s">
        <v>301</v>
      </c>
      <c r="H60" s="7" t="s">
        <v>246</v>
      </c>
      <c r="I60" s="27">
        <v>3</v>
      </c>
      <c r="J60" s="9">
        <v>4.3600000000000003</v>
      </c>
      <c r="K60" s="9">
        <f>J60*$S$3</f>
        <v>5.7116000000000007</v>
      </c>
      <c r="L60" s="9">
        <v>16.8</v>
      </c>
      <c r="M60" s="9">
        <f t="shared" si="1"/>
        <v>6.67</v>
      </c>
      <c r="N60" s="899">
        <v>0</v>
      </c>
      <c r="O60" s="900">
        <f t="shared" si="5"/>
        <v>3</v>
      </c>
      <c r="P60" s="901">
        <f t="shared" si="3"/>
        <v>20.010000000000002</v>
      </c>
      <c r="Q60" s="873"/>
      <c r="R60" s="873"/>
      <c r="S60" s="840"/>
      <c r="T60" s="853"/>
    </row>
    <row r="61" spans="1:21" s="344" customFormat="1" ht="25.5" hidden="1">
      <c r="A61" s="915"/>
      <c r="B61" s="919"/>
      <c r="C61" s="913"/>
      <c r="D61" s="49" t="s">
        <v>205</v>
      </c>
      <c r="E61" s="57">
        <f>'[3]Plan Tron'!B213</f>
        <v>10510</v>
      </c>
      <c r="F61" s="805" t="str">
        <f>'[3]Plan Tron'!C213</f>
        <v>SINAPI (INSUMO)</v>
      </c>
      <c r="G61" s="643" t="str">
        <f>'[3]Plan Tron'!D213</f>
        <v>CRUZETA DE EUCALIPTO TRATADO, OU EQUIVALENTE DA REGIAO, *2,4* M, SECAO *9 X 11,5*CM</v>
      </c>
      <c r="H61" s="57" t="str">
        <f>'[3]Plan Tron'!E213</f>
        <v>UN.</v>
      </c>
      <c r="I61" s="36">
        <v>4</v>
      </c>
      <c r="J61" s="9">
        <v>116.81</v>
      </c>
      <c r="K61" s="9">
        <f>'[3]Plan Tron'!F213</f>
        <v>65.62</v>
      </c>
      <c r="L61" s="9">
        <v>16.8</v>
      </c>
      <c r="M61" s="9">
        <f t="shared" si="1"/>
        <v>76.64</v>
      </c>
      <c r="N61" s="899">
        <v>4</v>
      </c>
      <c r="O61" s="900">
        <f t="shared" si="5"/>
        <v>0</v>
      </c>
      <c r="P61" s="901">
        <f t="shared" si="3"/>
        <v>0</v>
      </c>
      <c r="Q61" s="874"/>
      <c r="R61" s="874"/>
      <c r="S61" s="841"/>
      <c r="T61" s="854"/>
      <c r="U61" s="344">
        <v>545.72</v>
      </c>
    </row>
    <row r="62" spans="1:21" s="344" customFormat="1" ht="25.5" hidden="1">
      <c r="A62" s="915"/>
      <c r="B62" s="919"/>
      <c r="C62" s="913"/>
      <c r="D62" s="49" t="s">
        <v>204</v>
      </c>
      <c r="E62" s="57">
        <f>'[3]Plan Tron'!B214</f>
        <v>3405</v>
      </c>
      <c r="F62" s="805" t="str">
        <f>'[3]Plan Tron'!C214</f>
        <v>SINAPI (INSUMO)</v>
      </c>
      <c r="G62" s="643" t="str">
        <f>'[3]Plan Tron'!D214</f>
        <v>ISOLADOR DE PORCELANA SUSPENSO, DISCO TIPO GARFO OLHAL, DIAMETRO DE 152 MM, PARA TENSAO DE *15* KV</v>
      </c>
      <c r="H62" s="57" t="str">
        <f>'[3]Plan Tron'!E214</f>
        <v>UN.</v>
      </c>
      <c r="I62" s="27">
        <v>6</v>
      </c>
      <c r="J62" s="9">
        <v>117.64</v>
      </c>
      <c r="K62" s="9">
        <f>'[3]Plan Tron'!F214</f>
        <v>72.819999999999993</v>
      </c>
      <c r="L62" s="9">
        <v>16.8</v>
      </c>
      <c r="M62" s="9">
        <f t="shared" si="1"/>
        <v>85.05</v>
      </c>
      <c r="N62" s="899">
        <v>6</v>
      </c>
      <c r="O62" s="900">
        <f t="shared" si="5"/>
        <v>0</v>
      </c>
      <c r="P62" s="901">
        <f t="shared" si="3"/>
        <v>0</v>
      </c>
      <c r="Q62" s="874"/>
      <c r="R62" s="874"/>
      <c r="S62" s="841"/>
      <c r="T62" s="854"/>
      <c r="U62" s="344">
        <v>824.4</v>
      </c>
    </row>
    <row r="63" spans="1:21" s="610" customFormat="1" hidden="1">
      <c r="A63" s="915"/>
      <c r="B63" s="919"/>
      <c r="C63" s="913" t="s">
        <v>2455</v>
      </c>
      <c r="D63" s="49" t="s">
        <v>203</v>
      </c>
      <c r="E63" s="57" t="s">
        <v>298</v>
      </c>
      <c r="F63" s="50"/>
      <c r="G63" s="12" t="s">
        <v>299</v>
      </c>
      <c r="H63" s="7" t="s">
        <v>246</v>
      </c>
      <c r="I63" s="27">
        <v>2</v>
      </c>
      <c r="J63" s="9">
        <v>6.3</v>
      </c>
      <c r="K63" s="9">
        <f>J63*$S$3</f>
        <v>8.2530000000000001</v>
      </c>
      <c r="L63" s="9">
        <v>16.8</v>
      </c>
      <c r="M63" s="9">
        <f t="shared" si="1"/>
        <v>9.64</v>
      </c>
      <c r="N63" s="899">
        <v>2</v>
      </c>
      <c r="O63" s="900">
        <f t="shared" si="5"/>
        <v>0</v>
      </c>
      <c r="P63" s="901">
        <f t="shared" si="3"/>
        <v>0</v>
      </c>
      <c r="Q63" s="873"/>
      <c r="R63" s="873"/>
      <c r="S63" s="840"/>
      <c r="T63" s="853"/>
      <c r="U63" s="610">
        <v>14.72</v>
      </c>
    </row>
    <row r="64" spans="1:21" s="344" customFormat="1" ht="25.5" hidden="1">
      <c r="A64" s="915"/>
      <c r="B64" s="919"/>
      <c r="C64" s="913"/>
      <c r="D64" s="49" t="s">
        <v>297</v>
      </c>
      <c r="E64" s="57">
        <f>'[3]Plan Tron'!B215</f>
        <v>4273</v>
      </c>
      <c r="F64" s="805" t="str">
        <f>'[3]Plan Tron'!C215</f>
        <v>SINAPI (INSUMO)</v>
      </c>
      <c r="G64" s="643" t="str">
        <f>'[3]Plan Tron'!D215</f>
        <v>PARA-RAIOS DE DISTRIBUICAO, TENSAO NOMINAL 30 KV, CORRENTE NOMINAL DE DESCARGA 10 KA</v>
      </c>
      <c r="H64" s="57" t="str">
        <f>'[3]Plan Tron'!E215</f>
        <v>UN.</v>
      </c>
      <c r="I64" s="27">
        <v>3</v>
      </c>
      <c r="J64" s="9">
        <v>386.44</v>
      </c>
      <c r="K64" s="9">
        <f>'[3]Plan Tron'!F215</f>
        <v>267.98</v>
      </c>
      <c r="L64" s="9">
        <v>16.8</v>
      </c>
      <c r="M64" s="9">
        <f t="shared" si="1"/>
        <v>313</v>
      </c>
      <c r="N64" s="899">
        <v>3</v>
      </c>
      <c r="O64" s="900">
        <f t="shared" si="5"/>
        <v>0</v>
      </c>
      <c r="P64" s="901">
        <f t="shared" si="3"/>
        <v>0</v>
      </c>
      <c r="Q64" s="874"/>
      <c r="R64" s="874"/>
      <c r="S64" s="841"/>
      <c r="T64" s="854"/>
      <c r="U64" s="344">
        <v>0</v>
      </c>
    </row>
    <row r="65" spans="1:25" s="610" customFormat="1">
      <c r="A65" s="915"/>
      <c r="B65" s="919"/>
      <c r="C65" s="913" t="s">
        <v>2455</v>
      </c>
      <c r="D65" s="49" t="s">
        <v>296</v>
      </c>
      <c r="E65" s="805" t="s">
        <v>294</v>
      </c>
      <c r="F65" s="195"/>
      <c r="G65" s="12" t="s">
        <v>295</v>
      </c>
      <c r="H65" s="7" t="s">
        <v>246</v>
      </c>
      <c r="I65" s="27">
        <v>4</v>
      </c>
      <c r="J65" s="9">
        <v>8.4</v>
      </c>
      <c r="K65" s="9">
        <f>J65*$S$3</f>
        <v>11.004000000000001</v>
      </c>
      <c r="L65" s="9">
        <v>16.8</v>
      </c>
      <c r="M65" s="9">
        <f t="shared" si="1"/>
        <v>12.85</v>
      </c>
      <c r="N65" s="899">
        <v>0</v>
      </c>
      <c r="O65" s="900">
        <f t="shared" si="5"/>
        <v>4</v>
      </c>
      <c r="P65" s="901">
        <f t="shared" si="3"/>
        <v>51.4</v>
      </c>
      <c r="Q65" s="873"/>
      <c r="R65" s="873"/>
      <c r="S65" s="840"/>
      <c r="T65" s="853"/>
      <c r="U65" s="610">
        <v>0</v>
      </c>
    </row>
    <row r="66" spans="1:25" s="610" customFormat="1">
      <c r="A66" s="915"/>
      <c r="B66" s="919"/>
      <c r="C66" s="913" t="s">
        <v>2455</v>
      </c>
      <c r="D66" s="49" t="s">
        <v>293</v>
      </c>
      <c r="E66" s="805" t="s">
        <v>291</v>
      </c>
      <c r="F66" s="195"/>
      <c r="G66" s="12" t="s">
        <v>292</v>
      </c>
      <c r="H66" s="7" t="s">
        <v>246</v>
      </c>
      <c r="I66" s="27">
        <v>1</v>
      </c>
      <c r="J66" s="9">
        <v>350.83</v>
      </c>
      <c r="K66" s="9">
        <f>J66*$S$3</f>
        <v>459.58729999999997</v>
      </c>
      <c r="L66" s="9">
        <v>16.8</v>
      </c>
      <c r="M66" s="9">
        <f t="shared" si="1"/>
        <v>536.79999999999995</v>
      </c>
      <c r="N66" s="899">
        <v>0</v>
      </c>
      <c r="O66" s="900">
        <f t="shared" si="5"/>
        <v>1</v>
      </c>
      <c r="P66" s="901">
        <f t="shared" si="3"/>
        <v>536.79999999999995</v>
      </c>
      <c r="Q66" s="873"/>
      <c r="R66" s="873"/>
      <c r="S66" s="840"/>
      <c r="T66" s="853"/>
      <c r="U66" s="610">
        <v>0</v>
      </c>
    </row>
    <row r="67" spans="1:25" s="610" customFormat="1">
      <c r="A67" s="915"/>
      <c r="B67" s="919"/>
      <c r="C67" s="913" t="s">
        <v>2455</v>
      </c>
      <c r="D67" s="49" t="s">
        <v>290</v>
      </c>
      <c r="E67" s="805" t="s">
        <v>288</v>
      </c>
      <c r="F67" s="195"/>
      <c r="G67" s="12" t="s">
        <v>289</v>
      </c>
      <c r="H67" s="18" t="s">
        <v>246</v>
      </c>
      <c r="I67" s="36">
        <v>6</v>
      </c>
      <c r="J67" s="9">
        <v>47.94</v>
      </c>
      <c r="K67" s="9">
        <f>J67*$S$3</f>
        <v>62.801400000000001</v>
      </c>
      <c r="L67" s="9">
        <v>16.8</v>
      </c>
      <c r="M67" s="9">
        <f t="shared" si="1"/>
        <v>73.349999999999994</v>
      </c>
      <c r="N67" s="899">
        <v>12</v>
      </c>
      <c r="O67" s="900">
        <f t="shared" si="5"/>
        <v>-6</v>
      </c>
      <c r="P67" s="901">
        <f t="shared" si="3"/>
        <v>-440.1</v>
      </c>
      <c r="Q67" s="873"/>
      <c r="R67" s="873"/>
      <c r="S67" s="840"/>
      <c r="T67" s="853"/>
      <c r="U67" s="610">
        <v>335.94</v>
      </c>
    </row>
    <row r="68" spans="1:25" s="610" customFormat="1" hidden="1">
      <c r="A68" s="915"/>
      <c r="B68" s="919"/>
      <c r="C68" s="913" t="s">
        <v>2455</v>
      </c>
      <c r="D68" s="49" t="s">
        <v>287</v>
      </c>
      <c r="E68" s="805" t="s">
        <v>285</v>
      </c>
      <c r="F68" s="195"/>
      <c r="G68" s="12" t="s">
        <v>286</v>
      </c>
      <c r="H68" s="18" t="s">
        <v>246</v>
      </c>
      <c r="I68" s="36">
        <v>2</v>
      </c>
      <c r="J68" s="9">
        <v>184.72</v>
      </c>
      <c r="K68" s="9">
        <f>J68*$S$3</f>
        <v>241.98320000000001</v>
      </c>
      <c r="L68" s="9">
        <v>16.8</v>
      </c>
      <c r="M68" s="9">
        <f t="shared" si="1"/>
        <v>282.64</v>
      </c>
      <c r="N68" s="899">
        <v>2</v>
      </c>
      <c r="O68" s="900">
        <f t="shared" si="5"/>
        <v>0</v>
      </c>
      <c r="P68" s="901">
        <f t="shared" si="3"/>
        <v>0</v>
      </c>
      <c r="Q68" s="873"/>
      <c r="R68" s="873"/>
      <c r="S68" s="840"/>
      <c r="T68" s="853"/>
      <c r="U68" s="610">
        <v>431.5</v>
      </c>
    </row>
    <row r="69" spans="1:25">
      <c r="D69" s="49" t="s">
        <v>18</v>
      </c>
      <c r="E69" s="199"/>
      <c r="F69" s="194"/>
      <c r="G69" s="12" t="s">
        <v>284</v>
      </c>
      <c r="H69" s="47"/>
      <c r="I69" s="48"/>
      <c r="J69" s="54"/>
      <c r="K69" s="54"/>
      <c r="L69" s="9"/>
      <c r="M69" s="9"/>
      <c r="N69" s="899"/>
      <c r="O69" s="900"/>
      <c r="P69" s="901"/>
      <c r="Q69" s="874"/>
      <c r="R69" s="874"/>
      <c r="S69" s="841"/>
      <c r="T69" s="854"/>
      <c r="U69" s="89">
        <v>0</v>
      </c>
    </row>
    <row r="70" spans="1:25" s="610" customFormat="1" ht="25.5">
      <c r="A70" s="915"/>
      <c r="B70" s="919"/>
      <c r="C70" s="913" t="s">
        <v>2455</v>
      </c>
      <c r="D70" s="49" t="s">
        <v>201</v>
      </c>
      <c r="E70" s="57" t="s">
        <v>282</v>
      </c>
      <c r="F70" s="50"/>
      <c r="G70" s="12" t="s">
        <v>283</v>
      </c>
      <c r="H70" s="7" t="s">
        <v>246</v>
      </c>
      <c r="I70" s="27">
        <v>1</v>
      </c>
      <c r="J70" s="9">
        <v>1002.59</v>
      </c>
      <c r="K70" s="9">
        <f>J70*$S$3</f>
        <v>1313.3929000000001</v>
      </c>
      <c r="L70" s="9">
        <v>16.8</v>
      </c>
      <c r="M70" s="9">
        <f t="shared" si="1"/>
        <v>1534.04</v>
      </c>
      <c r="N70" s="899">
        <v>0</v>
      </c>
      <c r="O70" s="900">
        <f t="shared" si="5"/>
        <v>1</v>
      </c>
      <c r="P70" s="901">
        <f t="shared" si="3"/>
        <v>1534.04</v>
      </c>
      <c r="Q70" s="873"/>
      <c r="R70" s="873"/>
      <c r="S70" s="840"/>
      <c r="T70" s="853"/>
      <c r="U70" s="610">
        <v>0</v>
      </c>
    </row>
    <row r="71" spans="1:25">
      <c r="D71" s="49" t="s">
        <v>17</v>
      </c>
      <c r="E71" s="199"/>
      <c r="F71" s="194"/>
      <c r="G71" s="12" t="s">
        <v>248</v>
      </c>
      <c r="H71" s="47"/>
      <c r="I71" s="48"/>
      <c r="J71" s="54"/>
      <c r="K71" s="54"/>
      <c r="L71" s="9"/>
      <c r="M71" s="9"/>
      <c r="N71" s="899"/>
      <c r="O71" s="900"/>
      <c r="P71" s="901"/>
      <c r="Q71" s="874"/>
      <c r="R71" s="874"/>
      <c r="S71" s="841"/>
      <c r="T71" s="854"/>
      <c r="U71" s="89">
        <v>0</v>
      </c>
    </row>
    <row r="72" spans="1:25" s="800" customFormat="1" ht="31.5" hidden="1" customHeight="1">
      <c r="A72" s="915"/>
      <c r="B72" s="919"/>
      <c r="C72" s="913"/>
      <c r="D72" s="49" t="s">
        <v>195</v>
      </c>
      <c r="E72" s="57">
        <v>13346</v>
      </c>
      <c r="F72" s="805" t="s">
        <v>2017</v>
      </c>
      <c r="G72" s="12" t="s">
        <v>281</v>
      </c>
      <c r="H72" s="7" t="s">
        <v>246</v>
      </c>
      <c r="I72" s="27">
        <v>1</v>
      </c>
      <c r="J72" s="9">
        <v>6.11</v>
      </c>
      <c r="K72" s="9">
        <f>J72*$S$3</f>
        <v>8.0041000000000011</v>
      </c>
      <c r="L72" s="9">
        <v>16.8</v>
      </c>
      <c r="M72" s="9">
        <f t="shared" si="1"/>
        <v>9.35</v>
      </c>
      <c r="N72" s="899">
        <v>1</v>
      </c>
      <c r="O72" s="900">
        <f t="shared" si="5"/>
        <v>0</v>
      </c>
      <c r="P72" s="901">
        <f t="shared" si="3"/>
        <v>0</v>
      </c>
      <c r="Q72" s="875"/>
      <c r="R72" s="875"/>
      <c r="S72" s="844"/>
      <c r="T72" s="857"/>
      <c r="U72" s="800">
        <v>7.14</v>
      </c>
      <c r="V72" s="1057" t="s">
        <v>2414</v>
      </c>
      <c r="W72" s="1057"/>
      <c r="X72" s="1057"/>
      <c r="Y72" s="1057"/>
    </row>
    <row r="73" spans="1:25" s="344" customFormat="1" ht="25.5">
      <c r="A73" s="915"/>
      <c r="B73" s="919"/>
      <c r="C73" s="913"/>
      <c r="D73" s="49" t="s">
        <v>192</v>
      </c>
      <c r="E73" s="57">
        <f>'[3]Plan Tron'!B216</f>
        <v>985</v>
      </c>
      <c r="F73" s="805" t="str">
        <f>'[3]Plan Tron'!C216</f>
        <v>SINAPI (INSUMO)</v>
      </c>
      <c r="G73" s="643" t="str">
        <f>'[3]Plan Tron'!D216</f>
        <v>CABO DE COBRE, RIGIDO, CLASSE 2, ISOLACAO EM PVC/A, ANTICHAMA BWF-B, 1 CONDUTOR, 450/750 V, SECAO NOMINAL 10 MM2</v>
      </c>
      <c r="H73" s="57" t="str">
        <f>'[3]Plan Tron'!E216</f>
        <v>M</v>
      </c>
      <c r="I73" s="36">
        <v>10</v>
      </c>
      <c r="J73" s="9">
        <v>4.17</v>
      </c>
      <c r="K73" s="9">
        <f>'[3]Plan Tron'!F216</f>
        <v>4.43</v>
      </c>
      <c r="L73" s="9">
        <v>16.8</v>
      </c>
      <c r="M73" s="9">
        <f t="shared" si="1"/>
        <v>5.17</v>
      </c>
      <c r="N73" s="899">
        <v>0</v>
      </c>
      <c r="O73" s="900">
        <f t="shared" si="5"/>
        <v>10</v>
      </c>
      <c r="P73" s="901">
        <f t="shared" si="3"/>
        <v>51.7</v>
      </c>
      <c r="Q73" s="874"/>
      <c r="R73" s="874"/>
      <c r="S73" s="841"/>
      <c r="T73" s="854"/>
      <c r="U73" s="344">
        <v>0</v>
      </c>
    </row>
    <row r="74" spans="1:25">
      <c r="D74" s="49"/>
      <c r="E74" s="57"/>
      <c r="F74" s="50"/>
      <c r="G74" s="12"/>
      <c r="H74" s="18"/>
      <c r="I74" s="36"/>
      <c r="J74" s="9"/>
      <c r="K74" s="9"/>
      <c r="L74" s="9"/>
      <c r="M74" s="9"/>
      <c r="N74" s="899"/>
      <c r="O74" s="900"/>
      <c r="P74" s="901"/>
      <c r="Q74" s="874"/>
      <c r="R74" s="874"/>
      <c r="S74" s="841"/>
      <c r="T74" s="854"/>
      <c r="U74" s="89">
        <v>0</v>
      </c>
    </row>
    <row r="75" spans="1:25">
      <c r="D75" s="49"/>
      <c r="E75" s="57"/>
      <c r="F75" s="50"/>
      <c r="G75" s="12"/>
      <c r="H75" s="18"/>
      <c r="I75" s="36"/>
      <c r="J75" s="9"/>
      <c r="K75" s="9"/>
      <c r="L75" s="9"/>
      <c r="M75" s="9"/>
      <c r="N75" s="899"/>
      <c r="O75" s="900"/>
      <c r="P75" s="901"/>
      <c r="Q75" s="874"/>
      <c r="R75" s="874"/>
      <c r="S75" s="841"/>
      <c r="T75" s="854"/>
      <c r="U75" s="89">
        <v>0</v>
      </c>
    </row>
    <row r="76" spans="1:25" s="610" customFormat="1">
      <c r="A76" s="915"/>
      <c r="B76" s="919"/>
      <c r="C76" s="913" t="s">
        <v>2455</v>
      </c>
      <c r="D76" s="49" t="s">
        <v>280</v>
      </c>
      <c r="E76" s="57" t="s">
        <v>278</v>
      </c>
      <c r="F76" s="50"/>
      <c r="G76" s="12" t="s">
        <v>279</v>
      </c>
      <c r="H76" s="18" t="s">
        <v>158</v>
      </c>
      <c r="I76" s="36">
        <v>5</v>
      </c>
      <c r="J76" s="9">
        <v>4.22</v>
      </c>
      <c r="K76" s="9">
        <f>J76*$S$3</f>
        <v>5.5282</v>
      </c>
      <c r="L76" s="9">
        <v>16.8</v>
      </c>
      <c r="M76" s="9">
        <f t="shared" si="1"/>
        <v>6.46</v>
      </c>
      <c r="N76" s="899">
        <v>0</v>
      </c>
      <c r="O76" s="900">
        <f t="shared" si="5"/>
        <v>5</v>
      </c>
      <c r="P76" s="901">
        <f t="shared" si="3"/>
        <v>32.299999999999997</v>
      </c>
      <c r="Q76" s="873"/>
      <c r="R76" s="873"/>
      <c r="S76" s="840"/>
      <c r="T76" s="853"/>
    </row>
    <row r="77" spans="1:25" s="800" customFormat="1" ht="25.5">
      <c r="A77" s="915"/>
      <c r="B77" s="919"/>
      <c r="C77" s="913"/>
      <c r="D77" s="49" t="s">
        <v>277</v>
      </c>
      <c r="E77" s="57">
        <v>855</v>
      </c>
      <c r="F77" s="805" t="s">
        <v>2017</v>
      </c>
      <c r="G77" s="12" t="s">
        <v>276</v>
      </c>
      <c r="H77" s="18" t="s">
        <v>158</v>
      </c>
      <c r="I77" s="36">
        <v>2</v>
      </c>
      <c r="J77" s="9">
        <v>0.69</v>
      </c>
      <c r="K77" s="9">
        <f>J77*$S$3</f>
        <v>0.90389999999999993</v>
      </c>
      <c r="L77" s="9">
        <v>16.8</v>
      </c>
      <c r="M77" s="9">
        <f t="shared" si="1"/>
        <v>1.06</v>
      </c>
      <c r="N77" s="899">
        <v>0</v>
      </c>
      <c r="O77" s="900">
        <f t="shared" si="5"/>
        <v>2</v>
      </c>
      <c r="P77" s="901">
        <f t="shared" si="3"/>
        <v>2.12</v>
      </c>
      <c r="Q77" s="875"/>
      <c r="R77" s="875"/>
      <c r="S77" s="844"/>
      <c r="T77" s="857"/>
    </row>
    <row r="78" spans="1:25" s="344" customFormat="1" ht="25.5" hidden="1">
      <c r="A78" s="915"/>
      <c r="B78" s="919"/>
      <c r="C78" s="913"/>
      <c r="D78" s="49" t="s">
        <v>275</v>
      </c>
      <c r="E78" s="805">
        <f>'[3]Plan Tron'!B217</f>
        <v>1878</v>
      </c>
      <c r="F78" s="805" t="str">
        <f>'[3]Plan Tron'!C217</f>
        <v>SINAPI (INSUMO)</v>
      </c>
      <c r="G78" s="50" t="str">
        <f>'[3]Plan Tron'!D217</f>
        <v>CURVA 90 GRAUS, LONGA, DE PVC RIGIDO ROSCAVEL, DE 4", PARA ELETRODUTO</v>
      </c>
      <c r="H78" s="805" t="str">
        <f>'[3]Plan Tron'!E217</f>
        <v>UN.</v>
      </c>
      <c r="I78" s="36">
        <v>3</v>
      </c>
      <c r="J78" s="9">
        <v>42.97</v>
      </c>
      <c r="K78" s="10">
        <f>'[3]Plan Tron'!F217</f>
        <v>31.48</v>
      </c>
      <c r="L78" s="9">
        <v>16.8</v>
      </c>
      <c r="M78" s="9">
        <f t="shared" si="1"/>
        <v>36.770000000000003</v>
      </c>
      <c r="N78" s="899">
        <v>3</v>
      </c>
      <c r="O78" s="900">
        <f t="shared" si="5"/>
        <v>0</v>
      </c>
      <c r="P78" s="901">
        <f t="shared" si="3"/>
        <v>0</v>
      </c>
      <c r="Q78" s="874"/>
      <c r="R78" s="874"/>
      <c r="S78" s="841"/>
      <c r="T78" s="854"/>
      <c r="U78" s="344">
        <v>150.57</v>
      </c>
    </row>
    <row r="79" spans="1:25" s="800" customFormat="1" ht="25.5">
      <c r="A79" s="915"/>
      <c r="B79" s="919"/>
      <c r="C79" s="913"/>
      <c r="D79" s="49" t="s">
        <v>274</v>
      </c>
      <c r="E79" s="57">
        <v>1883</v>
      </c>
      <c r="F79" s="805" t="s">
        <v>2017</v>
      </c>
      <c r="G79" s="12" t="s">
        <v>273</v>
      </c>
      <c r="H79" s="18" t="s">
        <v>158</v>
      </c>
      <c r="I79" s="36">
        <v>1</v>
      </c>
      <c r="J79" s="9">
        <v>34.25</v>
      </c>
      <c r="K79" s="9">
        <f>J79*$S$3</f>
        <v>44.8675</v>
      </c>
      <c r="L79" s="9">
        <v>16.8</v>
      </c>
      <c r="M79" s="9">
        <f t="shared" si="1"/>
        <v>52.41</v>
      </c>
      <c r="N79" s="899">
        <v>2</v>
      </c>
      <c r="O79" s="900">
        <f t="shared" si="5"/>
        <v>-1</v>
      </c>
      <c r="P79" s="901">
        <f t="shared" si="3"/>
        <v>-52.41</v>
      </c>
      <c r="Q79" s="875"/>
      <c r="R79" s="875"/>
      <c r="S79" s="844"/>
      <c r="T79" s="857"/>
      <c r="U79" s="800">
        <v>40</v>
      </c>
    </row>
    <row r="80" spans="1:25" s="344" customFormat="1" ht="25.5" hidden="1">
      <c r="A80" s="915"/>
      <c r="B80" s="919"/>
      <c r="C80" s="913"/>
      <c r="D80" s="49" t="s">
        <v>272</v>
      </c>
      <c r="E80" s="57">
        <f>'[3]Plan Tron'!B218</f>
        <v>2683</v>
      </c>
      <c r="F80" s="805" t="str">
        <f>'[3]Plan Tron'!C218</f>
        <v>SINAPI (INSUMO)</v>
      </c>
      <c r="G80" s="643" t="str">
        <f>'[3]Plan Tron'!D218</f>
        <v>ELETRODUTO DE PVC RIGIDO ROSCAVEL DE 4 ", SEM LUVA</v>
      </c>
      <c r="H80" s="57" t="str">
        <f>'[3]Plan Tron'!E218</f>
        <v>M</v>
      </c>
      <c r="I80" s="36">
        <v>6</v>
      </c>
      <c r="J80" s="9">
        <v>30.71</v>
      </c>
      <c r="K80" s="9">
        <f>'[3]Plan Tron'!F218</f>
        <v>22.4</v>
      </c>
      <c r="L80" s="9">
        <v>16.8</v>
      </c>
      <c r="M80" s="9">
        <f t="shared" si="1"/>
        <v>26.16</v>
      </c>
      <c r="N80" s="899">
        <v>6</v>
      </c>
      <c r="O80" s="900">
        <f t="shared" si="5"/>
        <v>0</v>
      </c>
      <c r="P80" s="901">
        <f t="shared" si="3"/>
        <v>0</v>
      </c>
      <c r="Q80" s="874"/>
      <c r="R80" s="874"/>
      <c r="S80" s="841"/>
      <c r="T80" s="854"/>
      <c r="U80" s="344">
        <v>215.22</v>
      </c>
    </row>
    <row r="81" spans="1:21" s="344" customFormat="1" ht="25.5" hidden="1">
      <c r="A81" s="915"/>
      <c r="B81" s="919"/>
      <c r="C81" s="913"/>
      <c r="D81" s="49" t="s">
        <v>271</v>
      </c>
      <c r="E81" s="57">
        <f>'[3]Plan Tron'!B219</f>
        <v>1895</v>
      </c>
      <c r="F81" s="805" t="str">
        <f>'[3]Plan Tron'!C219</f>
        <v>SINAPI (INSUMO)</v>
      </c>
      <c r="G81" s="644" t="str">
        <f>'[3]Plan Tron'!D219</f>
        <v xml:space="preserve"> LUVA EM PVC RIGIDO ROSCAVEL, DE 4", PARA ELETRODUTO </v>
      </c>
      <c r="H81" s="57" t="str">
        <f>'[3]Plan Tron'!E219</f>
        <v>UN.</v>
      </c>
      <c r="I81" s="36">
        <v>8</v>
      </c>
      <c r="J81" s="9">
        <v>35.18</v>
      </c>
      <c r="K81" s="9">
        <f>'[3]Plan Tron'!F219</f>
        <v>17.89</v>
      </c>
      <c r="L81" s="9">
        <v>16.8</v>
      </c>
      <c r="M81" s="9">
        <f t="shared" ref="M81:M144" si="6">ROUND(K81*(L81/100+1),2)</f>
        <v>20.9</v>
      </c>
      <c r="N81" s="899">
        <v>8</v>
      </c>
      <c r="O81" s="900">
        <f t="shared" si="5"/>
        <v>0</v>
      </c>
      <c r="P81" s="901">
        <f t="shared" ref="P81:P144" si="7">ROUND(O81*M81,2)</f>
        <v>0</v>
      </c>
      <c r="Q81" s="874"/>
      <c r="R81" s="874"/>
      <c r="S81" s="841"/>
      <c r="T81" s="854"/>
      <c r="U81" s="344">
        <v>328.72</v>
      </c>
    </row>
    <row r="82" spans="1:21">
      <c r="D82" s="49" t="s">
        <v>16</v>
      </c>
      <c r="E82" s="57"/>
      <c r="F82" s="50"/>
      <c r="G82" s="12" t="s">
        <v>247</v>
      </c>
      <c r="H82" s="18"/>
      <c r="I82" s="36"/>
      <c r="J82" s="9"/>
      <c r="K82" s="9"/>
      <c r="L82" s="9"/>
      <c r="M82" s="9"/>
      <c r="N82" s="899"/>
      <c r="O82" s="900"/>
      <c r="P82" s="901"/>
      <c r="Q82" s="874"/>
      <c r="R82" s="874"/>
      <c r="S82" s="841"/>
      <c r="T82" s="854"/>
    </row>
    <row r="83" spans="1:21" s="610" customFormat="1">
      <c r="A83" s="915"/>
      <c r="B83" s="919"/>
      <c r="C83" s="913" t="s">
        <v>2455</v>
      </c>
      <c r="D83" s="49" t="s">
        <v>270</v>
      </c>
      <c r="E83" s="57" t="s">
        <v>268</v>
      </c>
      <c r="F83" s="50"/>
      <c r="G83" s="64" t="s">
        <v>269</v>
      </c>
      <c r="H83" s="7" t="s">
        <v>246</v>
      </c>
      <c r="I83" s="27">
        <v>1</v>
      </c>
      <c r="J83" s="9">
        <v>29.48</v>
      </c>
      <c r="K83" s="9">
        <f>J83*$S$3</f>
        <v>38.6188</v>
      </c>
      <c r="L83" s="9">
        <v>16.8</v>
      </c>
      <c r="M83" s="9">
        <f t="shared" si="6"/>
        <v>45.11</v>
      </c>
      <c r="N83" s="899">
        <v>0</v>
      </c>
      <c r="O83" s="900">
        <f t="shared" si="5"/>
        <v>1</v>
      </c>
      <c r="P83" s="901">
        <f t="shared" si="7"/>
        <v>45.11</v>
      </c>
      <c r="Q83" s="873"/>
      <c r="R83" s="873"/>
      <c r="S83" s="840"/>
      <c r="T83" s="853"/>
      <c r="U83" s="610">
        <v>0</v>
      </c>
    </row>
    <row r="84" spans="1:21">
      <c r="D84" s="49" t="s">
        <v>15</v>
      </c>
      <c r="E84" s="57"/>
      <c r="F84" s="50"/>
      <c r="G84" s="12" t="s">
        <v>267</v>
      </c>
      <c r="H84" s="18"/>
      <c r="I84" s="36"/>
      <c r="J84" s="9"/>
      <c r="K84" s="9"/>
      <c r="L84" s="9"/>
      <c r="M84" s="9"/>
      <c r="N84" s="899"/>
      <c r="O84" s="900"/>
      <c r="P84" s="901"/>
      <c r="Q84" s="874"/>
      <c r="R84" s="874"/>
      <c r="S84" s="841"/>
      <c r="T84" s="854"/>
      <c r="U84" s="89">
        <v>0</v>
      </c>
    </row>
    <row r="85" spans="1:21" s="800" customFormat="1" ht="25.5">
      <c r="A85" s="915"/>
      <c r="B85" s="919"/>
      <c r="C85" s="913"/>
      <c r="D85" s="49" t="s">
        <v>249</v>
      </c>
      <c r="E85" s="805">
        <v>1066</v>
      </c>
      <c r="F85" s="805" t="s">
        <v>2017</v>
      </c>
      <c r="G85" s="12" t="s">
        <v>266</v>
      </c>
      <c r="H85" s="7" t="s">
        <v>158</v>
      </c>
      <c r="I85" s="27">
        <v>1</v>
      </c>
      <c r="J85" s="9">
        <v>865.92</v>
      </c>
      <c r="K85" s="9">
        <f>J85*$S$3</f>
        <v>1134.3552</v>
      </c>
      <c r="L85" s="9">
        <v>16.8</v>
      </c>
      <c r="M85" s="9">
        <f t="shared" si="6"/>
        <v>1324.93</v>
      </c>
      <c r="N85" s="899">
        <v>0</v>
      </c>
      <c r="O85" s="900">
        <f t="shared" si="5"/>
        <v>1</v>
      </c>
      <c r="P85" s="901">
        <f t="shared" si="7"/>
        <v>1324.93</v>
      </c>
      <c r="Q85" s="875"/>
      <c r="R85" s="875"/>
      <c r="S85" s="844"/>
      <c r="T85" s="857"/>
      <c r="U85" s="800">
        <v>0</v>
      </c>
    </row>
    <row r="86" spans="1:21" s="800" customFormat="1" ht="25.5">
      <c r="A86" s="915"/>
      <c r="B86" s="919"/>
      <c r="C86" s="913"/>
      <c r="D86" s="49" t="s">
        <v>265</v>
      </c>
      <c r="E86" s="805">
        <v>1061</v>
      </c>
      <c r="F86" s="805" t="s">
        <v>2017</v>
      </c>
      <c r="G86" s="12" t="s">
        <v>264</v>
      </c>
      <c r="H86" s="7" t="s">
        <v>246</v>
      </c>
      <c r="I86" s="27">
        <v>1</v>
      </c>
      <c r="J86" s="9">
        <v>204.48</v>
      </c>
      <c r="K86" s="9">
        <f>J86*$S$3</f>
        <v>267.86880000000002</v>
      </c>
      <c r="L86" s="9">
        <v>16.8</v>
      </c>
      <c r="M86" s="9">
        <f t="shared" si="6"/>
        <v>312.87</v>
      </c>
      <c r="N86" s="899">
        <v>0</v>
      </c>
      <c r="O86" s="900">
        <f t="shared" si="5"/>
        <v>1</v>
      </c>
      <c r="P86" s="901">
        <f t="shared" si="7"/>
        <v>312.87</v>
      </c>
      <c r="Q86" s="875"/>
      <c r="R86" s="875"/>
      <c r="S86" s="844"/>
      <c r="T86" s="857"/>
      <c r="U86" s="800">
        <v>0</v>
      </c>
    </row>
    <row r="87" spans="1:21" s="610" customFormat="1">
      <c r="A87" s="915"/>
      <c r="B87" s="919"/>
      <c r="C87" s="913" t="s">
        <v>2455</v>
      </c>
      <c r="D87" s="49" t="s">
        <v>263</v>
      </c>
      <c r="E87" s="805" t="s">
        <v>261</v>
      </c>
      <c r="F87" s="195"/>
      <c r="G87" s="12" t="s">
        <v>262</v>
      </c>
      <c r="H87" s="7" t="s">
        <v>246</v>
      </c>
      <c r="I87" s="27">
        <v>1</v>
      </c>
      <c r="J87" s="9">
        <v>689.91</v>
      </c>
      <c r="K87" s="9">
        <f>J87*$S$3</f>
        <v>903.78210000000001</v>
      </c>
      <c r="L87" s="9">
        <v>16.8</v>
      </c>
      <c r="M87" s="9">
        <f t="shared" si="6"/>
        <v>1055.6199999999999</v>
      </c>
      <c r="N87" s="899">
        <v>0</v>
      </c>
      <c r="O87" s="900">
        <f t="shared" si="5"/>
        <v>1</v>
      </c>
      <c r="P87" s="901">
        <f t="shared" si="7"/>
        <v>1055.6199999999999</v>
      </c>
      <c r="Q87" s="873"/>
      <c r="R87" s="873"/>
      <c r="S87" s="840"/>
      <c r="T87" s="853"/>
      <c r="U87" s="610">
        <v>0</v>
      </c>
    </row>
    <row r="88" spans="1:21">
      <c r="D88" s="49" t="s">
        <v>14</v>
      </c>
      <c r="E88" s="57"/>
      <c r="F88" s="50"/>
      <c r="G88" s="12" t="s">
        <v>260</v>
      </c>
      <c r="H88" s="7"/>
      <c r="I88" s="27"/>
      <c r="J88" s="9"/>
      <c r="K88" s="9"/>
      <c r="L88" s="9"/>
      <c r="M88" s="9"/>
      <c r="N88" s="899"/>
      <c r="O88" s="900"/>
      <c r="P88" s="901"/>
      <c r="Q88" s="874"/>
      <c r="R88" s="874"/>
      <c r="S88" s="841"/>
      <c r="T88" s="854"/>
      <c r="U88" s="89">
        <v>0</v>
      </c>
    </row>
    <row r="89" spans="1:21" s="610" customFormat="1" hidden="1">
      <c r="A89" s="915"/>
      <c r="B89" s="919"/>
      <c r="C89" s="913" t="s">
        <v>2455</v>
      </c>
      <c r="D89" s="49" t="s">
        <v>181</v>
      </c>
      <c r="E89" s="805" t="s">
        <v>258</v>
      </c>
      <c r="F89" s="195"/>
      <c r="G89" s="12" t="s">
        <v>259</v>
      </c>
      <c r="H89" s="7" t="s">
        <v>246</v>
      </c>
      <c r="I89" s="27">
        <v>9</v>
      </c>
      <c r="J89" s="9">
        <v>1.97</v>
      </c>
      <c r="K89" s="9">
        <f>J89*$S$3</f>
        <v>2.5807000000000002</v>
      </c>
      <c r="L89" s="9">
        <v>16.8</v>
      </c>
      <c r="M89" s="9">
        <f t="shared" si="6"/>
        <v>3.01</v>
      </c>
      <c r="N89" s="899">
        <v>9</v>
      </c>
      <c r="O89" s="900">
        <f t="shared" si="5"/>
        <v>0</v>
      </c>
      <c r="P89" s="901">
        <f t="shared" si="7"/>
        <v>0</v>
      </c>
      <c r="Q89" s="873"/>
      <c r="R89" s="873"/>
      <c r="S89" s="840"/>
      <c r="T89" s="853"/>
      <c r="U89" s="610">
        <v>20.7</v>
      </c>
    </row>
    <row r="90" spans="1:21" s="610" customFormat="1" hidden="1">
      <c r="A90" s="915"/>
      <c r="B90" s="919"/>
      <c r="C90" s="913" t="s">
        <v>2455</v>
      </c>
      <c r="D90" s="49" t="s">
        <v>180</v>
      </c>
      <c r="E90" s="805" t="s">
        <v>256</v>
      </c>
      <c r="F90" s="195"/>
      <c r="G90" s="12" t="s">
        <v>257</v>
      </c>
      <c r="H90" s="18" t="s">
        <v>246</v>
      </c>
      <c r="I90" s="36">
        <v>3</v>
      </c>
      <c r="J90" s="9">
        <v>2.89</v>
      </c>
      <c r="K90" s="9">
        <f>J90*$S$3</f>
        <v>3.7859000000000003</v>
      </c>
      <c r="L90" s="9">
        <v>16.8</v>
      </c>
      <c r="M90" s="9">
        <f t="shared" si="6"/>
        <v>4.42</v>
      </c>
      <c r="N90" s="899">
        <v>3</v>
      </c>
      <c r="O90" s="900">
        <f t="shared" si="5"/>
        <v>0</v>
      </c>
      <c r="P90" s="901">
        <f t="shared" si="7"/>
        <v>0</v>
      </c>
      <c r="Q90" s="873"/>
      <c r="R90" s="873"/>
      <c r="S90" s="840"/>
      <c r="T90" s="853"/>
      <c r="U90" s="610">
        <v>10.14</v>
      </c>
    </row>
    <row r="91" spans="1:21" s="344" customFormat="1" ht="25.5" hidden="1">
      <c r="A91" s="915"/>
      <c r="B91" s="919"/>
      <c r="C91" s="913"/>
      <c r="D91" s="49" t="s">
        <v>179</v>
      </c>
      <c r="E91" s="805">
        <f>'[3]Plan Tron'!B220</f>
        <v>5077</v>
      </c>
      <c r="F91" s="805" t="str">
        <f>'[3]Plan Tron'!C220</f>
        <v>SINAPI (INSUMO)</v>
      </c>
      <c r="G91" s="643" t="str">
        <f>'[3]Plan Tron'!D220</f>
        <v xml:space="preserve">GRAMPO DE ACO POLIDO 7/8 " X 9 </v>
      </c>
      <c r="H91" s="805" t="str">
        <f>'[3]Plan Tron'!E220</f>
        <v>KG</v>
      </c>
      <c r="I91" s="27">
        <v>6</v>
      </c>
      <c r="J91" s="9">
        <v>6.34</v>
      </c>
      <c r="K91" s="9">
        <f>'[3]Plan Tron'!F220</f>
        <v>6.9</v>
      </c>
      <c r="L91" s="9">
        <v>16.8</v>
      </c>
      <c r="M91" s="9">
        <f t="shared" si="6"/>
        <v>8.06</v>
      </c>
      <c r="N91" s="899">
        <v>6</v>
      </c>
      <c r="O91" s="900">
        <f t="shared" si="5"/>
        <v>0</v>
      </c>
      <c r="P91" s="901">
        <f t="shared" si="7"/>
        <v>0</v>
      </c>
      <c r="Q91" s="874"/>
      <c r="R91" s="874"/>
      <c r="S91" s="841"/>
      <c r="T91" s="854"/>
      <c r="U91" s="344">
        <v>0</v>
      </c>
    </row>
    <row r="92" spans="1:21" s="344" customFormat="1" ht="25.5" hidden="1">
      <c r="A92" s="915"/>
      <c r="B92" s="919"/>
      <c r="C92" s="913"/>
      <c r="D92" s="49" t="s">
        <v>178</v>
      </c>
      <c r="E92" s="805">
        <f>'[3]Plan Tron'!B221</f>
        <v>442</v>
      </c>
      <c r="F92" s="805" t="str">
        <f>'[3]Plan Tron'!C221</f>
        <v>SINAPI (INSUMO)</v>
      </c>
      <c r="G92" s="643" t="str">
        <f>'[3]Plan Tron'!D221</f>
        <v>PARAFUSO FRANCES M16 EM ACO GALVANIZADO, COMPRIMENTO = 45 MM, DIAMETRO = 16MM, CABECA ABAULADA</v>
      </c>
      <c r="H92" s="805" t="str">
        <f>'[3]Plan Tron'!E221</f>
        <v>UN.</v>
      </c>
      <c r="I92" s="27">
        <v>3</v>
      </c>
      <c r="J92" s="9">
        <v>2.33</v>
      </c>
      <c r="K92" s="9">
        <f>'[3]Plan Tron'!F221</f>
        <v>2.62</v>
      </c>
      <c r="L92" s="9">
        <v>16.8</v>
      </c>
      <c r="M92" s="9">
        <f t="shared" si="6"/>
        <v>3.06</v>
      </c>
      <c r="N92" s="899">
        <v>3</v>
      </c>
      <c r="O92" s="900">
        <f t="shared" si="5"/>
        <v>0</v>
      </c>
      <c r="P92" s="901">
        <f t="shared" si="7"/>
        <v>0</v>
      </c>
      <c r="Q92" s="874"/>
      <c r="R92" s="874"/>
      <c r="S92" s="841"/>
      <c r="T92" s="854"/>
      <c r="U92" s="344">
        <v>0</v>
      </c>
    </row>
    <row r="93" spans="1:21" s="610" customFormat="1" hidden="1">
      <c r="A93" s="915"/>
      <c r="B93" s="919"/>
      <c r="C93" s="913" t="s">
        <v>2455</v>
      </c>
      <c r="D93" s="49" t="s">
        <v>177</v>
      </c>
      <c r="E93" s="57" t="s">
        <v>254</v>
      </c>
      <c r="F93" s="50"/>
      <c r="G93" s="12" t="s">
        <v>255</v>
      </c>
      <c r="H93" s="7" t="s">
        <v>246</v>
      </c>
      <c r="I93" s="27">
        <v>9</v>
      </c>
      <c r="J93" s="9">
        <v>4.8499999999999996</v>
      </c>
      <c r="K93" s="9">
        <f>J93*$S$3</f>
        <v>6.3534999999999995</v>
      </c>
      <c r="L93" s="9">
        <v>16.8</v>
      </c>
      <c r="M93" s="9">
        <f t="shared" si="6"/>
        <v>7.42</v>
      </c>
      <c r="N93" s="899">
        <v>9</v>
      </c>
      <c r="O93" s="900">
        <f t="shared" si="5"/>
        <v>0</v>
      </c>
      <c r="P93" s="901">
        <f t="shared" si="7"/>
        <v>0</v>
      </c>
      <c r="Q93" s="873"/>
      <c r="R93" s="873"/>
      <c r="S93" s="840"/>
      <c r="T93" s="853"/>
      <c r="U93" s="610">
        <v>50.94</v>
      </c>
    </row>
    <row r="94" spans="1:21" s="344" customFormat="1" ht="25.5" hidden="1">
      <c r="A94" s="915"/>
      <c r="B94" s="919"/>
      <c r="C94" s="913"/>
      <c r="D94" s="49" t="s">
        <v>176</v>
      </c>
      <c r="E94" s="57">
        <f>'[3]Plan Tron'!B222</f>
        <v>436</v>
      </c>
      <c r="F94" s="805" t="str">
        <f>'[3]Plan Tron'!C222</f>
        <v>SINAPI (INSUMO)</v>
      </c>
      <c r="G94" s="643" t="str">
        <f>'[3]Plan Tron'!D222</f>
        <v>PARAFUSO FRANCES M16 EM ACO GALVANIZADO, COMPRIMENTO = 150 MM, DIAMETRO = 16MM, CABECA ABAULADA</v>
      </c>
      <c r="H94" s="57" t="str">
        <f>'[3]Plan Tron'!E222</f>
        <v>UN.</v>
      </c>
      <c r="I94" s="36">
        <v>3</v>
      </c>
      <c r="J94" s="9">
        <v>3.73</v>
      </c>
      <c r="K94" s="9">
        <f>'[3]Plan Tron'!F222</f>
        <v>4.4400000000000004</v>
      </c>
      <c r="L94" s="9">
        <v>16.8</v>
      </c>
      <c r="M94" s="9">
        <f t="shared" si="6"/>
        <v>5.19</v>
      </c>
      <c r="N94" s="899">
        <v>3</v>
      </c>
      <c r="O94" s="900">
        <f t="shared" si="5"/>
        <v>0</v>
      </c>
      <c r="P94" s="901">
        <f t="shared" si="7"/>
        <v>0</v>
      </c>
      <c r="Q94" s="874"/>
      <c r="R94" s="874"/>
      <c r="S94" s="841"/>
      <c r="T94" s="854"/>
      <c r="U94" s="344">
        <v>13.08</v>
      </c>
    </row>
    <row r="95" spans="1:21" s="344" customFormat="1" ht="25.5" hidden="1">
      <c r="A95" s="915"/>
      <c r="B95" s="919"/>
      <c r="C95" s="913"/>
      <c r="D95" s="49" t="s">
        <v>175</v>
      </c>
      <c r="E95" s="57">
        <f>'[3]Plan Tron'!B223</f>
        <v>11790</v>
      </c>
      <c r="F95" s="805" t="str">
        <f>'[3]Plan Tron'!C223</f>
        <v>SINAPI (INSUMO)</v>
      </c>
      <c r="G95" s="643" t="str">
        <f>'[3]Plan Tron'!D223</f>
        <v>PARAFUSO M16 EM ACO GALVANIZADO, COMPRIMENTO = 450 MM, DIAMETRO = 16 MM, ROSCA MAQUINA, CABECA QUADRADA</v>
      </c>
      <c r="H95" s="57" t="str">
        <f>'[3]Plan Tron'!E223</f>
        <v>UN.</v>
      </c>
      <c r="I95" s="27">
        <v>3</v>
      </c>
      <c r="J95" s="9">
        <v>9.25</v>
      </c>
      <c r="K95" s="9">
        <f>'[3]Plan Tron'!F223</f>
        <v>11.77</v>
      </c>
      <c r="L95" s="9">
        <v>16.8</v>
      </c>
      <c r="M95" s="9">
        <f t="shared" si="6"/>
        <v>13.75</v>
      </c>
      <c r="N95" s="899">
        <v>3</v>
      </c>
      <c r="O95" s="900">
        <f t="shared" si="5"/>
        <v>0</v>
      </c>
      <c r="P95" s="901">
        <f t="shared" si="7"/>
        <v>0</v>
      </c>
      <c r="Q95" s="874"/>
      <c r="R95" s="874"/>
      <c r="S95" s="841"/>
      <c r="T95" s="854"/>
      <c r="U95" s="344">
        <v>32.4</v>
      </c>
    </row>
    <row r="96" spans="1:21" s="344" customFormat="1" ht="25.5" hidden="1">
      <c r="A96" s="915"/>
      <c r="B96" s="919"/>
      <c r="C96" s="913"/>
      <c r="D96" s="49" t="s">
        <v>174</v>
      </c>
      <c r="E96" s="57">
        <f>'[3]Plan Tron'!B224</f>
        <v>4337</v>
      </c>
      <c r="F96" s="805" t="str">
        <f>'[3]Plan Tron'!C224</f>
        <v>SINAPI (INSUMO)</v>
      </c>
      <c r="G96" s="643" t="str">
        <f>'[3]Plan Tron'!D224</f>
        <v>PORCA ZINCADA, QUADRADA, DIAMETRO 5/8"</v>
      </c>
      <c r="H96" s="57" t="str">
        <f>'[3]Plan Tron'!E224</f>
        <v>UN.</v>
      </c>
      <c r="I96" s="27">
        <v>18</v>
      </c>
      <c r="J96" s="9">
        <v>0.43</v>
      </c>
      <c r="K96" s="9">
        <f>'[3]Plan Tron'!F224</f>
        <v>1.72</v>
      </c>
      <c r="L96" s="9">
        <v>16.8</v>
      </c>
      <c r="M96" s="9">
        <f t="shared" si="6"/>
        <v>2.0099999999999998</v>
      </c>
      <c r="N96" s="899">
        <v>18</v>
      </c>
      <c r="O96" s="900">
        <f t="shared" si="5"/>
        <v>0</v>
      </c>
      <c r="P96" s="901">
        <f t="shared" si="7"/>
        <v>0</v>
      </c>
      <c r="Q96" s="874"/>
      <c r="R96" s="874"/>
      <c r="S96" s="841"/>
      <c r="T96" s="854"/>
      <c r="U96" s="344">
        <v>9</v>
      </c>
    </row>
    <row r="97" spans="1:20">
      <c r="D97" s="49" t="s">
        <v>13</v>
      </c>
      <c r="E97" s="57"/>
      <c r="F97" s="50"/>
      <c r="G97" s="12" t="s">
        <v>253</v>
      </c>
      <c r="H97" s="7"/>
      <c r="I97" s="27"/>
      <c r="J97" s="9"/>
      <c r="K97" s="9"/>
      <c r="L97" s="9"/>
      <c r="M97" s="9"/>
      <c r="N97" s="899"/>
      <c r="O97" s="900"/>
      <c r="P97" s="901"/>
      <c r="Q97" s="874"/>
      <c r="R97" s="874"/>
      <c r="S97" s="841"/>
      <c r="T97" s="854"/>
    </row>
    <row r="98" spans="1:20" s="800" customFormat="1" ht="25.5">
      <c r="A98" s="915"/>
      <c r="B98" s="919"/>
      <c r="C98" s="913"/>
      <c r="D98" s="49" t="s">
        <v>167</v>
      </c>
      <c r="E98" s="57">
        <v>7328</v>
      </c>
      <c r="F98" s="805" t="s">
        <v>2017</v>
      </c>
      <c r="G98" s="12" t="s">
        <v>252</v>
      </c>
      <c r="H98" s="18" t="s">
        <v>99</v>
      </c>
      <c r="I98" s="36">
        <v>1</v>
      </c>
      <c r="J98" s="9">
        <v>16.47</v>
      </c>
      <c r="K98" s="9">
        <f>J98*$S$3</f>
        <v>21.575699999999998</v>
      </c>
      <c r="L98" s="9">
        <v>16.8</v>
      </c>
      <c r="M98" s="9">
        <f t="shared" si="6"/>
        <v>25.2</v>
      </c>
      <c r="N98" s="899">
        <v>0</v>
      </c>
      <c r="O98" s="900">
        <f t="shared" si="5"/>
        <v>1</v>
      </c>
      <c r="P98" s="901">
        <f t="shared" si="7"/>
        <v>25.2</v>
      </c>
      <c r="Q98" s="875"/>
      <c r="R98" s="875"/>
      <c r="S98" s="844"/>
      <c r="T98" s="857"/>
    </row>
    <row r="99" spans="1:20">
      <c r="D99" s="49"/>
      <c r="E99" s="199"/>
      <c r="F99" s="194"/>
      <c r="G99" s="12"/>
      <c r="H99" s="196"/>
      <c r="I99" s="197"/>
      <c r="J99" s="54"/>
      <c r="K99" s="54"/>
      <c r="L99" s="9"/>
      <c r="M99" s="9"/>
      <c r="N99" s="933"/>
      <c r="O99" s="900"/>
      <c r="P99" s="901"/>
      <c r="Q99" s="874"/>
      <c r="R99" s="874"/>
      <c r="S99" s="841"/>
      <c r="T99" s="854"/>
    </row>
    <row r="100" spans="1:20">
      <c r="D100" s="49"/>
      <c r="E100" s="57"/>
      <c r="F100" s="50"/>
      <c r="G100" s="14"/>
      <c r="H100" s="7"/>
      <c r="I100" s="27"/>
      <c r="J100" s="9"/>
      <c r="K100" s="9"/>
      <c r="L100" s="9"/>
      <c r="M100" s="9"/>
      <c r="N100" s="379"/>
      <c r="O100" s="900"/>
      <c r="P100" s="901"/>
      <c r="Q100" s="874"/>
      <c r="R100" s="874"/>
      <c r="S100" s="841"/>
      <c r="T100" s="854"/>
    </row>
    <row r="101" spans="1:20" s="299" customFormat="1">
      <c r="A101" s="918"/>
      <c r="B101" s="922"/>
      <c r="C101" s="924"/>
      <c r="D101" s="929"/>
      <c r="E101" s="930"/>
      <c r="F101" s="929"/>
      <c r="G101" s="930" t="s">
        <v>70</v>
      </c>
      <c r="H101" s="929">
        <f>D50</f>
        <v>5</v>
      </c>
      <c r="I101" s="929"/>
      <c r="J101" s="929"/>
      <c r="K101" s="929"/>
      <c r="L101" s="929"/>
      <c r="M101" s="9"/>
      <c r="N101" s="934"/>
      <c r="O101" s="900"/>
      <c r="P101" s="901">
        <f>SUM(P54:P98)</f>
        <v>4499.5899999999992</v>
      </c>
      <c r="Q101" s="874"/>
      <c r="R101" s="874"/>
      <c r="S101" s="841"/>
      <c r="T101" s="854"/>
    </row>
    <row r="102" spans="1:20">
      <c r="D102" s="384"/>
      <c r="E102" s="931"/>
      <c r="F102" s="384"/>
      <c r="G102" s="384"/>
      <c r="H102" s="384"/>
      <c r="I102" s="384"/>
      <c r="J102" s="384"/>
      <c r="K102" s="384"/>
      <c r="L102" s="384"/>
      <c r="M102" s="9"/>
      <c r="N102" s="926"/>
      <c r="O102" s="900"/>
      <c r="P102" s="901"/>
      <c r="Q102" s="874"/>
      <c r="R102" s="874"/>
      <c r="S102" s="841"/>
      <c r="T102" s="854"/>
    </row>
    <row r="103" spans="1:20">
      <c r="D103" s="108">
        <v>7</v>
      </c>
      <c r="E103" s="813"/>
      <c r="F103" s="109"/>
      <c r="G103" s="108" t="s">
        <v>1959</v>
      </c>
      <c r="H103" s="109"/>
      <c r="I103" s="109"/>
      <c r="J103" s="109"/>
      <c r="K103" s="109"/>
      <c r="L103" s="109"/>
      <c r="M103" s="791"/>
      <c r="N103" s="378"/>
      <c r="O103" s="792"/>
      <c r="P103" s="864"/>
      <c r="Q103" s="872"/>
      <c r="R103" s="872"/>
      <c r="S103" s="842"/>
      <c r="T103" s="852"/>
    </row>
    <row r="104" spans="1:20">
      <c r="D104" s="44"/>
      <c r="E104" s="296"/>
      <c r="F104" s="44"/>
      <c r="G104" s="44"/>
      <c r="H104" s="44"/>
      <c r="I104" s="44"/>
      <c r="J104" s="302"/>
      <c r="K104" s="302"/>
      <c r="L104" s="44"/>
      <c r="M104" s="9"/>
      <c r="N104" s="375"/>
      <c r="O104" s="789"/>
      <c r="P104" s="863"/>
      <c r="Q104" s="874"/>
      <c r="R104" s="874"/>
      <c r="S104" s="841"/>
      <c r="T104" s="854"/>
    </row>
    <row r="105" spans="1:20" ht="25.5">
      <c r="D105" s="45"/>
      <c r="E105" s="14"/>
      <c r="F105" s="46"/>
      <c r="G105" s="46" t="s">
        <v>342</v>
      </c>
      <c r="H105" s="47"/>
      <c r="I105" s="48"/>
      <c r="J105" s="54"/>
      <c r="K105" s="54"/>
      <c r="L105" s="54"/>
      <c r="M105" s="9"/>
      <c r="N105" s="926"/>
      <c r="O105" s="900"/>
      <c r="P105" s="901"/>
      <c r="Q105" s="874"/>
      <c r="R105" s="874"/>
      <c r="S105" s="841"/>
      <c r="T105" s="854"/>
    </row>
    <row r="106" spans="1:20">
      <c r="D106" s="45"/>
      <c r="E106" s="14"/>
      <c r="F106" s="46"/>
      <c r="G106" s="46"/>
      <c r="H106" s="47"/>
      <c r="I106" s="48"/>
      <c r="J106" s="54"/>
      <c r="K106" s="54"/>
      <c r="L106" s="54"/>
      <c r="M106" s="9"/>
      <c r="N106" s="926"/>
      <c r="O106" s="900"/>
      <c r="P106" s="901"/>
      <c r="Q106" s="874"/>
      <c r="R106" s="874"/>
      <c r="S106" s="841"/>
      <c r="T106" s="854"/>
    </row>
    <row r="107" spans="1:20">
      <c r="D107" s="45">
        <v>1</v>
      </c>
      <c r="E107" s="56"/>
      <c r="F107" s="200"/>
      <c r="G107" s="200" t="s">
        <v>341</v>
      </c>
      <c r="H107" s="18"/>
      <c r="I107" s="36"/>
      <c r="J107" s="19"/>
      <c r="K107" s="19"/>
      <c r="L107" s="19"/>
      <c r="M107" s="9"/>
      <c r="N107" s="926"/>
      <c r="O107" s="900"/>
      <c r="P107" s="901"/>
      <c r="Q107" s="874"/>
      <c r="R107" s="874"/>
      <c r="S107" s="841"/>
      <c r="T107" s="854"/>
    </row>
    <row r="108" spans="1:20">
      <c r="D108" s="49" t="s">
        <v>20</v>
      </c>
      <c r="E108" s="349"/>
      <c r="F108" s="12"/>
      <c r="G108" s="12" t="s">
        <v>340</v>
      </c>
      <c r="H108" s="201"/>
      <c r="I108" s="202"/>
      <c r="J108" s="203"/>
      <c r="K108" s="203"/>
      <c r="L108" s="203"/>
      <c r="M108" s="9"/>
      <c r="N108" s="926"/>
      <c r="O108" s="900"/>
      <c r="P108" s="901"/>
      <c r="Q108" s="874"/>
      <c r="R108" s="874"/>
      <c r="S108" s="841"/>
      <c r="T108" s="854"/>
    </row>
    <row r="109" spans="1:20" s="610" customFormat="1">
      <c r="A109" s="915" t="s">
        <v>2456</v>
      </c>
      <c r="B109" s="919"/>
      <c r="C109" s="913"/>
      <c r="D109" s="49" t="s">
        <v>153</v>
      </c>
      <c r="E109" s="348" t="s">
        <v>338</v>
      </c>
      <c r="F109" s="74"/>
      <c r="G109" s="12" t="s">
        <v>339</v>
      </c>
      <c r="H109" s="7" t="s">
        <v>246</v>
      </c>
      <c r="I109" s="27">
        <v>1</v>
      </c>
      <c r="J109" s="9">
        <v>2147.4</v>
      </c>
      <c r="K109" s="9">
        <f>J109*$S$3</f>
        <v>2813.0940000000001</v>
      </c>
      <c r="L109" s="9">
        <v>16.8</v>
      </c>
      <c r="M109" s="9">
        <f t="shared" si="6"/>
        <v>3285.69</v>
      </c>
      <c r="N109" s="899">
        <v>0</v>
      </c>
      <c r="O109" s="900">
        <f t="shared" ref="O109:O162" si="8">I109-N109</f>
        <v>1</v>
      </c>
      <c r="P109" s="901">
        <f t="shared" si="7"/>
        <v>3285.69</v>
      </c>
      <c r="Q109" s="873"/>
      <c r="R109" s="873"/>
      <c r="S109" s="840"/>
      <c r="T109" s="853"/>
    </row>
    <row r="110" spans="1:20" s="610" customFormat="1">
      <c r="A110" s="915" t="s">
        <v>2456</v>
      </c>
      <c r="B110" s="919"/>
      <c r="C110" s="913"/>
      <c r="D110" s="49" t="s">
        <v>151</v>
      </c>
      <c r="E110" s="348" t="s">
        <v>336</v>
      </c>
      <c r="F110" s="74"/>
      <c r="G110" s="12" t="s">
        <v>337</v>
      </c>
      <c r="H110" s="7" t="s">
        <v>246</v>
      </c>
      <c r="I110" s="27">
        <v>1</v>
      </c>
      <c r="J110" s="9">
        <v>980</v>
      </c>
      <c r="K110" s="9">
        <f>J110*$S$3</f>
        <v>1283.8</v>
      </c>
      <c r="L110" s="9">
        <v>16.8</v>
      </c>
      <c r="M110" s="9">
        <f t="shared" si="6"/>
        <v>1499.48</v>
      </c>
      <c r="N110" s="899">
        <v>0</v>
      </c>
      <c r="O110" s="900">
        <f t="shared" si="8"/>
        <v>1</v>
      </c>
      <c r="P110" s="901">
        <f t="shared" si="7"/>
        <v>1499.48</v>
      </c>
      <c r="Q110" s="873"/>
      <c r="R110" s="873"/>
      <c r="S110" s="840"/>
      <c r="T110" s="853"/>
    </row>
    <row r="111" spans="1:20">
      <c r="D111" s="49" t="s">
        <v>19</v>
      </c>
      <c r="E111" s="348"/>
      <c r="F111" s="74"/>
      <c r="G111" s="12" t="s">
        <v>335</v>
      </c>
      <c r="H111" s="201"/>
      <c r="I111" s="202"/>
      <c r="J111" s="203"/>
      <c r="K111" s="203"/>
      <c r="L111" s="9"/>
      <c r="M111" s="9"/>
      <c r="N111" s="899"/>
      <c r="O111" s="900"/>
      <c r="P111" s="901"/>
      <c r="Q111" s="874"/>
      <c r="R111" s="874"/>
      <c r="S111" s="841"/>
      <c r="T111" s="854"/>
    </row>
    <row r="112" spans="1:20" s="610" customFormat="1" ht="25.5">
      <c r="A112" s="915" t="s">
        <v>2456</v>
      </c>
      <c r="B112" s="919"/>
      <c r="C112" s="913"/>
      <c r="D112" s="49" t="s">
        <v>147</v>
      </c>
      <c r="E112" s="348" t="s">
        <v>333</v>
      </c>
      <c r="F112" s="74"/>
      <c r="G112" s="12" t="s">
        <v>334</v>
      </c>
      <c r="H112" s="7" t="s">
        <v>246</v>
      </c>
      <c r="I112" s="27">
        <v>1</v>
      </c>
      <c r="J112" s="9">
        <v>4734.3999999999996</v>
      </c>
      <c r="K112" s="9">
        <f>J112*$S$3</f>
        <v>6202.0639999999994</v>
      </c>
      <c r="L112" s="9">
        <v>16.8</v>
      </c>
      <c r="M112" s="9">
        <f t="shared" si="6"/>
        <v>7244.01</v>
      </c>
      <c r="N112" s="899">
        <v>0</v>
      </c>
      <c r="O112" s="900">
        <f t="shared" si="8"/>
        <v>1</v>
      </c>
      <c r="P112" s="901">
        <f t="shared" si="7"/>
        <v>7244.01</v>
      </c>
      <c r="Q112" s="873"/>
      <c r="R112" s="873"/>
      <c r="S112" s="840"/>
      <c r="T112" s="853"/>
    </row>
    <row r="113" spans="1:20" s="610" customFormat="1">
      <c r="A113" s="915" t="s">
        <v>2456</v>
      </c>
      <c r="B113" s="919"/>
      <c r="C113" s="913"/>
      <c r="D113" s="49" t="s">
        <v>213</v>
      </c>
      <c r="E113" s="348" t="s">
        <v>331</v>
      </c>
      <c r="F113" s="74"/>
      <c r="G113" s="12" t="s">
        <v>332</v>
      </c>
      <c r="H113" s="7" t="s">
        <v>246</v>
      </c>
      <c r="I113" s="27">
        <v>2</v>
      </c>
      <c r="J113" s="9">
        <v>1200</v>
      </c>
      <c r="K113" s="9">
        <f>J113*$S$3</f>
        <v>1572</v>
      </c>
      <c r="L113" s="9">
        <v>16.8</v>
      </c>
      <c r="M113" s="9">
        <f t="shared" si="6"/>
        <v>1836.1</v>
      </c>
      <c r="N113" s="899">
        <v>0</v>
      </c>
      <c r="O113" s="900">
        <f t="shared" si="8"/>
        <v>2</v>
      </c>
      <c r="P113" s="901">
        <f t="shared" si="7"/>
        <v>3672.2</v>
      </c>
      <c r="Q113" s="873"/>
      <c r="R113" s="873"/>
      <c r="S113" s="840"/>
      <c r="T113" s="853"/>
    </row>
    <row r="114" spans="1:20" s="610" customFormat="1" ht="25.5">
      <c r="A114" s="915" t="s">
        <v>2456</v>
      </c>
      <c r="B114" s="919"/>
      <c r="C114" s="913"/>
      <c r="D114" s="49" t="s">
        <v>212</v>
      </c>
      <c r="E114" s="348" t="s">
        <v>329</v>
      </c>
      <c r="F114" s="74"/>
      <c r="G114" s="12" t="s">
        <v>330</v>
      </c>
      <c r="H114" s="7" t="s">
        <v>326</v>
      </c>
      <c r="I114" s="27">
        <v>5</v>
      </c>
      <c r="J114" s="9">
        <v>378.23</v>
      </c>
      <c r="K114" s="9">
        <f>J114*$S$3</f>
        <v>495.48130000000003</v>
      </c>
      <c r="L114" s="9">
        <v>16.8</v>
      </c>
      <c r="M114" s="9">
        <f t="shared" si="6"/>
        <v>578.72</v>
      </c>
      <c r="N114" s="899">
        <v>0</v>
      </c>
      <c r="O114" s="900">
        <f t="shared" si="8"/>
        <v>5</v>
      </c>
      <c r="P114" s="901">
        <f t="shared" si="7"/>
        <v>2893.6</v>
      </c>
      <c r="Q114" s="873"/>
      <c r="R114" s="873"/>
      <c r="S114" s="840"/>
      <c r="T114" s="853"/>
    </row>
    <row r="115" spans="1:20" s="610" customFormat="1">
      <c r="A115" s="915" t="s">
        <v>2456</v>
      </c>
      <c r="B115" s="919"/>
      <c r="C115" s="913"/>
      <c r="D115" s="49" t="s">
        <v>211</v>
      </c>
      <c r="E115" s="348" t="s">
        <v>327</v>
      </c>
      <c r="F115" s="74"/>
      <c r="G115" s="12" t="s">
        <v>328</v>
      </c>
      <c r="H115" s="7" t="s">
        <v>326</v>
      </c>
      <c r="I115" s="27">
        <v>2</v>
      </c>
      <c r="J115" s="9">
        <v>290.18</v>
      </c>
      <c r="K115" s="9">
        <f>J115*$S$3</f>
        <v>380.13580000000002</v>
      </c>
      <c r="L115" s="9">
        <v>16.8</v>
      </c>
      <c r="M115" s="9">
        <f t="shared" si="6"/>
        <v>444</v>
      </c>
      <c r="N115" s="899">
        <v>0</v>
      </c>
      <c r="O115" s="900">
        <f t="shared" si="8"/>
        <v>2</v>
      </c>
      <c r="P115" s="901">
        <f t="shared" si="7"/>
        <v>888</v>
      </c>
      <c r="Q115" s="873"/>
      <c r="R115" s="873"/>
      <c r="S115" s="840"/>
      <c r="T115" s="853"/>
    </row>
    <row r="116" spans="1:20">
      <c r="D116" s="49" t="s">
        <v>18</v>
      </c>
      <c r="E116" s="348"/>
      <c r="F116" s="74"/>
      <c r="G116" s="204" t="s">
        <v>325</v>
      </c>
      <c r="H116" s="201"/>
      <c r="I116" s="202"/>
      <c r="J116" s="203"/>
      <c r="K116" s="203"/>
      <c r="L116" s="9"/>
      <c r="M116" s="9"/>
      <c r="N116" s="899"/>
      <c r="O116" s="900"/>
      <c r="P116" s="901"/>
      <c r="Q116" s="874"/>
      <c r="R116" s="874"/>
      <c r="S116" s="841"/>
      <c r="T116" s="854"/>
    </row>
    <row r="117" spans="1:20" s="800" customFormat="1" ht="25.5">
      <c r="A117" s="915"/>
      <c r="B117" s="919"/>
      <c r="C117" s="913"/>
      <c r="D117" s="49" t="s">
        <v>201</v>
      </c>
      <c r="E117" s="348" t="s">
        <v>323</v>
      </c>
      <c r="F117" s="805" t="s">
        <v>2017</v>
      </c>
      <c r="G117" s="12" t="s">
        <v>324</v>
      </c>
      <c r="H117" s="7" t="s">
        <v>246</v>
      </c>
      <c r="I117" s="27">
        <v>1</v>
      </c>
      <c r="J117" s="9">
        <v>895.78</v>
      </c>
      <c r="K117" s="9">
        <f>J117*$S$3</f>
        <v>1173.4718</v>
      </c>
      <c r="L117" s="9">
        <v>16.8</v>
      </c>
      <c r="M117" s="9">
        <f t="shared" si="6"/>
        <v>1370.62</v>
      </c>
      <c r="N117" s="899">
        <v>0</v>
      </c>
      <c r="O117" s="900">
        <f t="shared" si="8"/>
        <v>1</v>
      </c>
      <c r="P117" s="901">
        <f t="shared" si="7"/>
        <v>1370.62</v>
      </c>
      <c r="Q117" s="875"/>
      <c r="R117" s="875"/>
      <c r="S117" s="844"/>
      <c r="T117" s="857"/>
    </row>
    <row r="118" spans="1:20" s="610" customFormat="1" ht="25.5">
      <c r="A118" s="915"/>
      <c r="B118" s="919"/>
      <c r="C118" s="913"/>
      <c r="D118" s="49" t="s">
        <v>198</v>
      </c>
      <c r="E118" s="348" t="s">
        <v>321</v>
      </c>
      <c r="F118" s="74"/>
      <c r="G118" s="12" t="s">
        <v>322</v>
      </c>
      <c r="H118" s="7" t="s">
        <v>246</v>
      </c>
      <c r="I118" s="27">
        <v>1</v>
      </c>
      <c r="J118" s="9">
        <v>618</v>
      </c>
      <c r="K118" s="9">
        <f>J118*$S$3</f>
        <v>809.58</v>
      </c>
      <c r="L118" s="9">
        <v>16.8</v>
      </c>
      <c r="M118" s="9">
        <f t="shared" si="6"/>
        <v>945.59</v>
      </c>
      <c r="N118" s="899">
        <v>0</v>
      </c>
      <c r="O118" s="900">
        <f t="shared" si="8"/>
        <v>1</v>
      </c>
      <c r="P118" s="901">
        <f t="shared" si="7"/>
        <v>945.59</v>
      </c>
      <c r="Q118" s="873"/>
      <c r="R118" s="873"/>
      <c r="S118" s="840"/>
      <c r="T118" s="853"/>
    </row>
    <row r="119" spans="1:20">
      <c r="D119" s="49"/>
      <c r="E119" s="348"/>
      <c r="F119" s="205"/>
      <c r="G119" s="12"/>
      <c r="H119" s="7"/>
      <c r="I119" s="27"/>
      <c r="J119" s="9"/>
      <c r="K119" s="9"/>
      <c r="L119" s="9"/>
      <c r="M119" s="9"/>
      <c r="N119" s="926"/>
      <c r="O119" s="900"/>
      <c r="P119" s="901"/>
      <c r="Q119" s="874"/>
      <c r="R119" s="874"/>
      <c r="S119" s="841"/>
      <c r="T119" s="854"/>
    </row>
    <row r="120" spans="1:20">
      <c r="D120" s="49"/>
      <c r="E120" s="348"/>
      <c r="F120" s="205"/>
      <c r="G120" s="12"/>
      <c r="H120" s="7"/>
      <c r="I120" s="27"/>
      <c r="J120" s="9"/>
      <c r="K120" s="9"/>
      <c r="L120" s="9"/>
      <c r="M120" s="9"/>
      <c r="N120" s="926"/>
      <c r="O120" s="900"/>
      <c r="P120" s="901"/>
      <c r="Q120" s="874"/>
      <c r="R120" s="874"/>
      <c r="S120" s="841"/>
      <c r="T120" s="854"/>
    </row>
    <row r="121" spans="1:20">
      <c r="D121" s="49"/>
      <c r="E121" s="14"/>
      <c r="F121" s="14"/>
      <c r="G121" s="14"/>
      <c r="H121" s="7"/>
      <c r="I121" s="27"/>
      <c r="J121" s="9"/>
      <c r="K121" s="9"/>
      <c r="L121" s="9"/>
      <c r="M121" s="9"/>
      <c r="N121" s="926"/>
      <c r="O121" s="900"/>
      <c r="P121" s="901"/>
      <c r="Q121" s="874"/>
      <c r="R121" s="874"/>
      <c r="S121" s="841"/>
      <c r="T121" s="854"/>
    </row>
    <row r="122" spans="1:20" s="299" customFormat="1">
      <c r="A122" s="918"/>
      <c r="B122" s="922"/>
      <c r="C122" s="924"/>
      <c r="D122" s="929"/>
      <c r="E122" s="930"/>
      <c r="F122" s="929"/>
      <c r="G122" s="930" t="s">
        <v>70</v>
      </c>
      <c r="H122" s="929">
        <f>D103</f>
        <v>7</v>
      </c>
      <c r="I122" s="929"/>
      <c r="J122" s="929"/>
      <c r="K122" s="929"/>
      <c r="L122" s="929"/>
      <c r="M122" s="9"/>
      <c r="N122" s="928"/>
      <c r="O122" s="900"/>
      <c r="P122" s="901">
        <f>SUM(P109:P118)</f>
        <v>21799.19</v>
      </c>
      <c r="Q122" s="874"/>
      <c r="R122" s="874"/>
      <c r="S122" s="841"/>
      <c r="T122" s="854"/>
    </row>
    <row r="123" spans="1:20">
      <c r="D123" s="44"/>
      <c r="E123" s="296"/>
      <c r="F123" s="44"/>
      <c r="G123" s="44"/>
      <c r="H123" s="44"/>
      <c r="I123" s="44"/>
      <c r="J123" s="302"/>
      <c r="K123" s="302"/>
      <c r="L123" s="44"/>
      <c r="M123" s="9"/>
      <c r="N123" s="375"/>
      <c r="O123" s="789"/>
      <c r="P123" s="863"/>
      <c r="Q123" s="874"/>
      <c r="R123" s="874"/>
      <c r="S123" s="841"/>
      <c r="T123" s="854"/>
    </row>
    <row r="124" spans="1:20">
      <c r="D124" s="108">
        <v>9</v>
      </c>
      <c r="E124" s="813"/>
      <c r="F124" s="109"/>
      <c r="G124" s="108" t="s">
        <v>1954</v>
      </c>
      <c r="H124" s="109"/>
      <c r="I124" s="109"/>
      <c r="J124" s="109"/>
      <c r="K124" s="109"/>
      <c r="L124" s="109"/>
      <c r="M124" s="791"/>
      <c r="N124" s="378"/>
      <c r="O124" s="792"/>
      <c r="P124" s="864"/>
      <c r="Q124" s="872"/>
      <c r="R124" s="872"/>
      <c r="S124" s="842"/>
      <c r="T124" s="852"/>
    </row>
    <row r="125" spans="1:20">
      <c r="D125" s="44"/>
      <c r="E125" s="296"/>
      <c r="F125" s="44"/>
      <c r="G125" s="44"/>
      <c r="H125" s="44"/>
      <c r="I125" s="44"/>
      <c r="J125" s="302"/>
      <c r="K125" s="302"/>
      <c r="L125" s="44"/>
      <c r="M125" s="9"/>
      <c r="N125" s="375"/>
      <c r="O125" s="789"/>
      <c r="P125" s="863"/>
      <c r="Q125" s="874"/>
      <c r="R125" s="874"/>
      <c r="S125" s="841"/>
      <c r="T125" s="854"/>
    </row>
    <row r="126" spans="1:20" ht="25.5">
      <c r="D126" s="45"/>
      <c r="E126" s="14"/>
      <c r="F126" s="46"/>
      <c r="G126" s="46" t="s">
        <v>342</v>
      </c>
      <c r="H126" s="47"/>
      <c r="I126" s="48"/>
      <c r="J126" s="54"/>
      <c r="K126" s="54"/>
      <c r="L126" s="54"/>
      <c r="M126" s="9"/>
      <c r="N126" s="926"/>
      <c r="O126" s="900"/>
      <c r="P126" s="901"/>
      <c r="Q126" s="874"/>
      <c r="R126" s="874"/>
      <c r="S126" s="841"/>
      <c r="T126" s="854"/>
    </row>
    <row r="127" spans="1:20">
      <c r="D127" s="45"/>
      <c r="E127" s="14"/>
      <c r="F127" s="46"/>
      <c r="G127" s="46"/>
      <c r="H127" s="47"/>
      <c r="I127" s="48"/>
      <c r="J127" s="54"/>
      <c r="K127" s="54"/>
      <c r="L127" s="54"/>
      <c r="M127" s="9"/>
      <c r="N127" s="926"/>
      <c r="O127" s="900"/>
      <c r="P127" s="901"/>
      <c r="Q127" s="874"/>
      <c r="R127" s="874"/>
      <c r="S127" s="841"/>
      <c r="T127" s="854"/>
    </row>
    <row r="128" spans="1:20">
      <c r="D128" s="45">
        <v>1</v>
      </c>
      <c r="E128" s="56"/>
      <c r="F128" s="200"/>
      <c r="G128" s="200" t="s">
        <v>409</v>
      </c>
      <c r="H128" s="18"/>
      <c r="I128" s="36"/>
      <c r="J128" s="19"/>
      <c r="K128" s="19"/>
      <c r="L128" s="19"/>
      <c r="M128" s="9"/>
      <c r="N128" s="926"/>
      <c r="O128" s="900"/>
      <c r="P128" s="901"/>
      <c r="Q128" s="874"/>
      <c r="R128" s="874"/>
      <c r="S128" s="841"/>
      <c r="T128" s="854"/>
    </row>
    <row r="129" spans="1:20">
      <c r="D129" s="49" t="s">
        <v>20</v>
      </c>
      <c r="E129" s="56"/>
      <c r="F129" s="200"/>
      <c r="G129" s="206" t="s">
        <v>408</v>
      </c>
      <c r="H129" s="201"/>
      <c r="I129" s="202"/>
      <c r="J129" s="203"/>
      <c r="K129" s="203"/>
      <c r="L129" s="203"/>
      <c r="M129" s="9"/>
      <c r="N129" s="926"/>
      <c r="O129" s="900"/>
      <c r="P129" s="901"/>
      <c r="Q129" s="874"/>
      <c r="R129" s="874"/>
      <c r="S129" s="841"/>
      <c r="T129" s="854"/>
    </row>
    <row r="130" spans="1:20" s="885" customFormat="1" ht="25.5">
      <c r="A130" s="915"/>
      <c r="B130" s="919"/>
      <c r="C130" s="913"/>
      <c r="D130" s="49" t="s">
        <v>153</v>
      </c>
      <c r="E130" s="349" t="s">
        <v>406</v>
      </c>
      <c r="F130" s="16"/>
      <c r="G130" s="12" t="s">
        <v>407</v>
      </c>
      <c r="H130" s="7" t="s">
        <v>246</v>
      </c>
      <c r="I130" s="27">
        <v>2</v>
      </c>
      <c r="J130" s="9">
        <v>7268.3</v>
      </c>
      <c r="K130" s="9">
        <v>7500</v>
      </c>
      <c r="L130" s="9">
        <v>16.8</v>
      </c>
      <c r="M130" s="9">
        <f t="shared" si="6"/>
        <v>8760</v>
      </c>
      <c r="N130" s="899">
        <v>0</v>
      </c>
      <c r="O130" s="900">
        <f t="shared" si="8"/>
        <v>2</v>
      </c>
      <c r="P130" s="901">
        <f t="shared" si="7"/>
        <v>17520</v>
      </c>
      <c r="Q130" s="882"/>
      <c r="R130" s="882"/>
      <c r="S130" s="883"/>
      <c r="T130" s="884"/>
    </row>
    <row r="131" spans="1:20" s="318" customFormat="1">
      <c r="A131" s="915"/>
      <c r="B131" s="919"/>
      <c r="C131" s="913"/>
      <c r="D131" s="49" t="s">
        <v>19</v>
      </c>
      <c r="E131" s="349"/>
      <c r="F131" s="16"/>
      <c r="G131" s="12" t="s">
        <v>340</v>
      </c>
      <c r="H131" s="201"/>
      <c r="I131" s="202"/>
      <c r="J131" s="203"/>
      <c r="K131" s="203"/>
      <c r="L131" s="9"/>
      <c r="M131" s="9"/>
      <c r="N131" s="899"/>
      <c r="O131" s="900"/>
      <c r="P131" s="901"/>
      <c r="Q131" s="874"/>
      <c r="R131" s="874"/>
      <c r="S131" s="841"/>
      <c r="T131" s="854"/>
    </row>
    <row r="132" spans="1:20" s="610" customFormat="1">
      <c r="A132" s="915" t="s">
        <v>2456</v>
      </c>
      <c r="B132" s="919"/>
      <c r="C132" s="913"/>
      <c r="D132" s="49" t="s">
        <v>147</v>
      </c>
      <c r="E132" s="349" t="s">
        <v>404</v>
      </c>
      <c r="F132" s="16"/>
      <c r="G132" s="12" t="s">
        <v>405</v>
      </c>
      <c r="H132" s="7" t="s">
        <v>246</v>
      </c>
      <c r="I132" s="27">
        <v>1</v>
      </c>
      <c r="J132" s="9">
        <v>3680</v>
      </c>
      <c r="K132" s="9">
        <f t="shared" ref="K132:K137" si="9">J132*$S$3</f>
        <v>4820.8</v>
      </c>
      <c r="L132" s="9">
        <v>16.8</v>
      </c>
      <c r="M132" s="9">
        <f t="shared" si="6"/>
        <v>5630.69</v>
      </c>
      <c r="N132" s="899">
        <v>0</v>
      </c>
      <c r="O132" s="900">
        <f t="shared" si="8"/>
        <v>1</v>
      </c>
      <c r="P132" s="901">
        <f t="shared" si="7"/>
        <v>5630.69</v>
      </c>
      <c r="Q132" s="873"/>
      <c r="R132" s="873"/>
      <c r="S132" s="840"/>
      <c r="T132" s="853"/>
    </row>
    <row r="133" spans="1:20" s="610" customFormat="1">
      <c r="A133" s="915" t="s">
        <v>2456</v>
      </c>
      <c r="B133" s="919"/>
      <c r="C133" s="913"/>
      <c r="D133" s="49" t="s">
        <v>213</v>
      </c>
      <c r="E133" s="349" t="s">
        <v>402</v>
      </c>
      <c r="F133" s="16"/>
      <c r="G133" s="12" t="s">
        <v>403</v>
      </c>
      <c r="H133" s="7" t="s">
        <v>246</v>
      </c>
      <c r="I133" s="27">
        <v>1</v>
      </c>
      <c r="J133" s="9">
        <v>4900</v>
      </c>
      <c r="K133" s="9">
        <f t="shared" si="9"/>
        <v>6419</v>
      </c>
      <c r="L133" s="9">
        <v>16.8</v>
      </c>
      <c r="M133" s="9">
        <f t="shared" si="6"/>
        <v>7497.39</v>
      </c>
      <c r="N133" s="899">
        <v>0</v>
      </c>
      <c r="O133" s="900">
        <f t="shared" si="8"/>
        <v>1</v>
      </c>
      <c r="P133" s="901">
        <f t="shared" si="7"/>
        <v>7497.39</v>
      </c>
      <c r="Q133" s="873"/>
      <c r="R133" s="873"/>
      <c r="S133" s="840"/>
      <c r="T133" s="853"/>
    </row>
    <row r="134" spans="1:20" s="610" customFormat="1">
      <c r="A134" s="915" t="s">
        <v>2456</v>
      </c>
      <c r="B134" s="919"/>
      <c r="C134" s="913"/>
      <c r="D134" s="49" t="s">
        <v>212</v>
      </c>
      <c r="E134" s="349" t="s">
        <v>400</v>
      </c>
      <c r="F134" s="16"/>
      <c r="G134" s="12" t="s">
        <v>401</v>
      </c>
      <c r="H134" s="7" t="s">
        <v>246</v>
      </c>
      <c r="I134" s="27">
        <v>1</v>
      </c>
      <c r="J134" s="9">
        <v>2300</v>
      </c>
      <c r="K134" s="9">
        <f t="shared" si="9"/>
        <v>3013</v>
      </c>
      <c r="L134" s="9">
        <v>16.8</v>
      </c>
      <c r="M134" s="9">
        <f t="shared" si="6"/>
        <v>3519.18</v>
      </c>
      <c r="N134" s="899">
        <v>0</v>
      </c>
      <c r="O134" s="900">
        <f t="shared" si="8"/>
        <v>1</v>
      </c>
      <c r="P134" s="901">
        <f t="shared" si="7"/>
        <v>3519.18</v>
      </c>
      <c r="Q134" s="873"/>
      <c r="R134" s="873"/>
      <c r="S134" s="840"/>
      <c r="T134" s="853"/>
    </row>
    <row r="135" spans="1:20" s="610" customFormat="1">
      <c r="A135" s="915" t="s">
        <v>2456</v>
      </c>
      <c r="B135" s="919"/>
      <c r="C135" s="913"/>
      <c r="D135" s="49" t="s">
        <v>211</v>
      </c>
      <c r="E135" s="349" t="s">
        <v>398</v>
      </c>
      <c r="F135" s="16"/>
      <c r="G135" s="12" t="s">
        <v>399</v>
      </c>
      <c r="H135" s="7" t="s">
        <v>246</v>
      </c>
      <c r="I135" s="27">
        <v>1</v>
      </c>
      <c r="J135" s="9">
        <v>1460.85</v>
      </c>
      <c r="K135" s="9">
        <f t="shared" si="9"/>
        <v>1913.7135000000001</v>
      </c>
      <c r="L135" s="9">
        <v>16.8</v>
      </c>
      <c r="M135" s="9">
        <f t="shared" si="6"/>
        <v>2235.2199999999998</v>
      </c>
      <c r="N135" s="899">
        <v>0</v>
      </c>
      <c r="O135" s="900">
        <f t="shared" si="8"/>
        <v>1</v>
      </c>
      <c r="P135" s="901">
        <f t="shared" si="7"/>
        <v>2235.2199999999998</v>
      </c>
      <c r="Q135" s="873"/>
      <c r="R135" s="873"/>
      <c r="S135" s="840"/>
      <c r="T135" s="853"/>
    </row>
    <row r="136" spans="1:20" s="610" customFormat="1">
      <c r="A136" s="915" t="s">
        <v>2456</v>
      </c>
      <c r="B136" s="919"/>
      <c r="C136" s="913"/>
      <c r="D136" s="49" t="s">
        <v>208</v>
      </c>
      <c r="E136" s="349" t="s">
        <v>396</v>
      </c>
      <c r="F136" s="16"/>
      <c r="G136" s="12" t="s">
        <v>397</v>
      </c>
      <c r="H136" s="7" t="s">
        <v>246</v>
      </c>
      <c r="I136" s="27">
        <v>2</v>
      </c>
      <c r="J136" s="9">
        <v>2485.6999999999998</v>
      </c>
      <c r="K136" s="9">
        <f t="shared" si="9"/>
        <v>3256.2669999999998</v>
      </c>
      <c r="L136" s="9">
        <v>16.8</v>
      </c>
      <c r="M136" s="9">
        <f t="shared" si="6"/>
        <v>3803.32</v>
      </c>
      <c r="N136" s="899">
        <v>0</v>
      </c>
      <c r="O136" s="900">
        <f t="shared" si="8"/>
        <v>2</v>
      </c>
      <c r="P136" s="901">
        <f t="shared" si="7"/>
        <v>7606.64</v>
      </c>
      <c r="Q136" s="873"/>
      <c r="R136" s="873"/>
      <c r="S136" s="840"/>
      <c r="T136" s="853"/>
    </row>
    <row r="137" spans="1:20" s="610" customFormat="1">
      <c r="A137" s="915" t="s">
        <v>2456</v>
      </c>
      <c r="B137" s="919"/>
      <c r="C137" s="913"/>
      <c r="D137" s="49" t="s">
        <v>205</v>
      </c>
      <c r="E137" s="935" t="s">
        <v>642</v>
      </c>
      <c r="F137" s="353"/>
      <c r="G137" s="12" t="s">
        <v>395</v>
      </c>
      <c r="H137" s="7" t="s">
        <v>246</v>
      </c>
      <c r="I137" s="27">
        <v>2</v>
      </c>
      <c r="J137" s="9">
        <v>1200</v>
      </c>
      <c r="K137" s="9">
        <f t="shared" si="9"/>
        <v>1572</v>
      </c>
      <c r="L137" s="9">
        <v>16.8</v>
      </c>
      <c r="M137" s="9">
        <f t="shared" si="6"/>
        <v>1836.1</v>
      </c>
      <c r="N137" s="899">
        <v>0</v>
      </c>
      <c r="O137" s="900">
        <f t="shared" si="8"/>
        <v>2</v>
      </c>
      <c r="P137" s="901">
        <f t="shared" si="7"/>
        <v>3672.2</v>
      </c>
      <c r="Q137" s="873"/>
      <c r="R137" s="873"/>
      <c r="S137" s="840"/>
      <c r="T137" s="853"/>
    </row>
    <row r="138" spans="1:20" s="318" customFormat="1">
      <c r="A138" s="915"/>
      <c r="B138" s="919"/>
      <c r="C138" s="913"/>
      <c r="D138" s="49" t="s">
        <v>18</v>
      </c>
      <c r="E138" s="349"/>
      <c r="F138" s="16"/>
      <c r="G138" s="12" t="s">
        <v>335</v>
      </c>
      <c r="H138" s="201"/>
      <c r="I138" s="202"/>
      <c r="J138" s="203"/>
      <c r="K138" s="203"/>
      <c r="L138" s="9"/>
      <c r="M138" s="9"/>
      <c r="N138" s="899"/>
      <c r="O138" s="900"/>
      <c r="P138" s="901"/>
      <c r="Q138" s="874"/>
      <c r="R138" s="874"/>
      <c r="S138" s="841"/>
      <c r="T138" s="854"/>
    </row>
    <row r="139" spans="1:20" s="610" customFormat="1">
      <c r="A139" s="915" t="s">
        <v>2456</v>
      </c>
      <c r="B139" s="919"/>
      <c r="C139" s="913"/>
      <c r="D139" s="49" t="s">
        <v>201</v>
      </c>
      <c r="E139" s="349" t="s">
        <v>393</v>
      </c>
      <c r="F139" s="16"/>
      <c r="G139" s="12" t="s">
        <v>394</v>
      </c>
      <c r="H139" s="7" t="s">
        <v>246</v>
      </c>
      <c r="I139" s="27">
        <v>1</v>
      </c>
      <c r="J139" s="9">
        <v>2124.9699999999998</v>
      </c>
      <c r="K139" s="9">
        <f>J139*$S$3</f>
        <v>2783.7106999999996</v>
      </c>
      <c r="L139" s="9">
        <v>16.8</v>
      </c>
      <c r="M139" s="9">
        <f t="shared" si="6"/>
        <v>3251.37</v>
      </c>
      <c r="N139" s="899">
        <v>0</v>
      </c>
      <c r="O139" s="900">
        <f t="shared" si="8"/>
        <v>1</v>
      </c>
      <c r="P139" s="901">
        <f t="shared" si="7"/>
        <v>3251.37</v>
      </c>
      <c r="Q139" s="873"/>
      <c r="R139" s="873"/>
      <c r="S139" s="840"/>
      <c r="T139" s="853"/>
    </row>
    <row r="140" spans="1:20" s="610" customFormat="1">
      <c r="A140" s="915" t="s">
        <v>2456</v>
      </c>
      <c r="B140" s="919"/>
      <c r="C140" s="913"/>
      <c r="D140" s="49" t="s">
        <v>198</v>
      </c>
      <c r="E140" s="349" t="s">
        <v>391</v>
      </c>
      <c r="F140" s="16"/>
      <c r="G140" s="12" t="s">
        <v>392</v>
      </c>
      <c r="H140" s="7" t="s">
        <v>246</v>
      </c>
      <c r="I140" s="27">
        <v>3</v>
      </c>
      <c r="J140" s="9">
        <v>1188</v>
      </c>
      <c r="K140" s="9">
        <f>J140*$S$3</f>
        <v>1556.28</v>
      </c>
      <c r="L140" s="9">
        <v>16.8</v>
      </c>
      <c r="M140" s="9">
        <f t="shared" si="6"/>
        <v>1817.74</v>
      </c>
      <c r="N140" s="899">
        <v>0</v>
      </c>
      <c r="O140" s="900">
        <f t="shared" si="8"/>
        <v>3</v>
      </c>
      <c r="P140" s="901">
        <f t="shared" si="7"/>
        <v>5453.22</v>
      </c>
      <c r="Q140" s="873"/>
      <c r="R140" s="873"/>
      <c r="S140" s="840"/>
      <c r="T140" s="853"/>
    </row>
    <row r="141" spans="1:20" s="610" customFormat="1">
      <c r="A141" s="915" t="s">
        <v>2456</v>
      </c>
      <c r="B141" s="919"/>
      <c r="C141" s="913"/>
      <c r="D141" s="49" t="s">
        <v>390</v>
      </c>
      <c r="E141" s="349" t="s">
        <v>388</v>
      </c>
      <c r="F141" s="16"/>
      <c r="G141" s="12" t="s">
        <v>389</v>
      </c>
      <c r="H141" s="7" t="s">
        <v>246</v>
      </c>
      <c r="I141" s="27">
        <v>1</v>
      </c>
      <c r="J141" s="9">
        <v>3587.24</v>
      </c>
      <c r="K141" s="9">
        <f>J141*$S$3</f>
        <v>4699.2843999999996</v>
      </c>
      <c r="L141" s="9">
        <v>16.8</v>
      </c>
      <c r="M141" s="9">
        <f t="shared" si="6"/>
        <v>5488.76</v>
      </c>
      <c r="N141" s="899">
        <v>0</v>
      </c>
      <c r="O141" s="900">
        <f t="shared" si="8"/>
        <v>1</v>
      </c>
      <c r="P141" s="901">
        <f t="shared" si="7"/>
        <v>5488.76</v>
      </c>
      <c r="Q141" s="873"/>
      <c r="R141" s="873"/>
      <c r="S141" s="840"/>
      <c r="T141" s="853"/>
    </row>
    <row r="142" spans="1:20" s="610" customFormat="1">
      <c r="A142" s="915" t="s">
        <v>2456</v>
      </c>
      <c r="B142" s="919"/>
      <c r="C142" s="913"/>
      <c r="D142" s="49" t="s">
        <v>387</v>
      </c>
      <c r="E142" s="349" t="s">
        <v>385</v>
      </c>
      <c r="F142" s="16"/>
      <c r="G142" s="12" t="s">
        <v>386</v>
      </c>
      <c r="H142" s="7" t="s">
        <v>246</v>
      </c>
      <c r="I142" s="27">
        <v>2</v>
      </c>
      <c r="J142" s="9">
        <v>3844</v>
      </c>
      <c r="K142" s="9">
        <f>J142*$S$3</f>
        <v>5035.6400000000003</v>
      </c>
      <c r="L142" s="9">
        <v>16.8</v>
      </c>
      <c r="M142" s="9">
        <f t="shared" si="6"/>
        <v>5881.63</v>
      </c>
      <c r="N142" s="899">
        <v>0</v>
      </c>
      <c r="O142" s="900">
        <f t="shared" si="8"/>
        <v>2</v>
      </c>
      <c r="P142" s="901">
        <f t="shared" si="7"/>
        <v>11763.26</v>
      </c>
      <c r="Q142" s="873"/>
      <c r="R142" s="873"/>
      <c r="S142" s="840"/>
      <c r="T142" s="853"/>
    </row>
    <row r="143" spans="1:20" s="610" customFormat="1">
      <c r="A143" s="915" t="s">
        <v>2456</v>
      </c>
      <c r="B143" s="919"/>
      <c r="C143" s="913"/>
      <c r="D143" s="49" t="s">
        <v>384</v>
      </c>
      <c r="E143" s="349" t="s">
        <v>382</v>
      </c>
      <c r="F143" s="16"/>
      <c r="G143" s="12" t="s">
        <v>383</v>
      </c>
      <c r="H143" s="7" t="s">
        <v>246</v>
      </c>
      <c r="I143" s="27">
        <v>1</v>
      </c>
      <c r="J143" s="9">
        <v>5832.92</v>
      </c>
      <c r="K143" s="9">
        <f>J143*$S$3</f>
        <v>7641.1252000000004</v>
      </c>
      <c r="L143" s="9">
        <v>16.8</v>
      </c>
      <c r="M143" s="9">
        <f t="shared" si="6"/>
        <v>8924.83</v>
      </c>
      <c r="N143" s="899">
        <v>0</v>
      </c>
      <c r="O143" s="900">
        <f t="shared" si="8"/>
        <v>1</v>
      </c>
      <c r="P143" s="901">
        <f t="shared" si="7"/>
        <v>8924.83</v>
      </c>
      <c r="Q143" s="873"/>
      <c r="R143" s="873"/>
      <c r="S143" s="840"/>
      <c r="T143" s="853"/>
    </row>
    <row r="144" spans="1:20" s="885" customFormat="1">
      <c r="A144" s="915"/>
      <c r="B144" s="919"/>
      <c r="C144" s="913"/>
      <c r="D144" s="49" t="s">
        <v>381</v>
      </c>
      <c r="E144" s="349" t="s">
        <v>379</v>
      </c>
      <c r="F144" s="16"/>
      <c r="G144" s="12" t="s">
        <v>380</v>
      </c>
      <c r="H144" s="7" t="s">
        <v>246</v>
      </c>
      <c r="I144" s="27">
        <v>2</v>
      </c>
      <c r="J144" s="9">
        <v>2671</v>
      </c>
      <c r="K144" s="9">
        <v>4380.12</v>
      </c>
      <c r="L144" s="9">
        <v>16.8</v>
      </c>
      <c r="M144" s="9">
        <f t="shared" si="6"/>
        <v>5115.9799999999996</v>
      </c>
      <c r="N144" s="899">
        <v>0</v>
      </c>
      <c r="O144" s="900">
        <f t="shared" si="8"/>
        <v>2</v>
      </c>
      <c r="P144" s="901">
        <f t="shared" si="7"/>
        <v>10231.959999999999</v>
      </c>
      <c r="Q144" s="882">
        <v>23</v>
      </c>
      <c r="R144" s="882" t="s">
        <v>2439</v>
      </c>
      <c r="S144" s="883"/>
      <c r="T144" s="884"/>
    </row>
    <row r="145" spans="1:20" s="610" customFormat="1">
      <c r="A145" s="915" t="s">
        <v>2456</v>
      </c>
      <c r="B145" s="919"/>
      <c r="C145" s="913"/>
      <c r="D145" s="49" t="s">
        <v>378</v>
      </c>
      <c r="E145" s="349" t="s">
        <v>376</v>
      </c>
      <c r="F145" s="16"/>
      <c r="G145" s="12" t="s">
        <v>377</v>
      </c>
      <c r="H145" s="7" t="s">
        <v>246</v>
      </c>
      <c r="I145" s="27">
        <v>4</v>
      </c>
      <c r="J145" s="9">
        <v>2983.2</v>
      </c>
      <c r="K145" s="9">
        <f>J145*$S$3</f>
        <v>3907.9919999999997</v>
      </c>
      <c r="L145" s="9">
        <v>16.8</v>
      </c>
      <c r="M145" s="9">
        <f t="shared" ref="M145:M208" si="10">ROUND(K145*(L145/100+1),2)</f>
        <v>4564.53</v>
      </c>
      <c r="N145" s="899">
        <v>0</v>
      </c>
      <c r="O145" s="900">
        <f t="shared" si="8"/>
        <v>4</v>
      </c>
      <c r="P145" s="901">
        <f t="shared" ref="P145:P208" si="11">ROUND(O145*M145,2)</f>
        <v>18258.12</v>
      </c>
      <c r="Q145" s="873"/>
      <c r="R145" s="873"/>
      <c r="S145" s="840"/>
      <c r="T145" s="853"/>
    </row>
    <row r="146" spans="1:20" s="318" customFormat="1">
      <c r="A146" s="915"/>
      <c r="B146" s="919"/>
      <c r="C146" s="913"/>
      <c r="D146" s="49" t="s">
        <v>17</v>
      </c>
      <c r="E146" s="349"/>
      <c r="F146" s="16"/>
      <c r="G146" s="12" t="s">
        <v>375</v>
      </c>
      <c r="H146" s="7"/>
      <c r="I146" s="27"/>
      <c r="J146" s="9"/>
      <c r="K146" s="9"/>
      <c r="L146" s="9"/>
      <c r="M146" s="9"/>
      <c r="N146" s="899"/>
      <c r="O146" s="900"/>
      <c r="P146" s="901"/>
      <c r="Q146" s="874"/>
      <c r="R146" s="874"/>
      <c r="S146" s="841"/>
      <c r="T146" s="854"/>
    </row>
    <row r="147" spans="1:20" s="610" customFormat="1">
      <c r="A147" s="915"/>
      <c r="B147" s="919" t="s">
        <v>2457</v>
      </c>
      <c r="C147" s="913"/>
      <c r="D147" s="49" t="s">
        <v>195</v>
      </c>
      <c r="E147" s="935" t="s">
        <v>1862</v>
      </c>
      <c r="F147" s="353"/>
      <c r="G147" s="12" t="s">
        <v>374</v>
      </c>
      <c r="H147" s="7" t="s">
        <v>110</v>
      </c>
      <c r="I147" s="27">
        <v>17</v>
      </c>
      <c r="J147" s="353">
        <v>24</v>
      </c>
      <c r="K147" s="9">
        <f>J147*$S$3</f>
        <v>31.44</v>
      </c>
      <c r="L147" s="9">
        <v>16.8</v>
      </c>
      <c r="M147" s="9">
        <f t="shared" si="10"/>
        <v>36.72</v>
      </c>
      <c r="N147" s="899">
        <v>0</v>
      </c>
      <c r="O147" s="900">
        <f t="shared" si="8"/>
        <v>17</v>
      </c>
      <c r="P147" s="901">
        <f t="shared" si="11"/>
        <v>624.24</v>
      </c>
      <c r="Q147" s="873"/>
      <c r="R147" s="873"/>
      <c r="S147" s="840"/>
      <c r="T147" s="853"/>
    </row>
    <row r="148" spans="1:20" s="610" customFormat="1" ht="25.5">
      <c r="A148" s="915"/>
      <c r="B148" s="919" t="s">
        <v>2457</v>
      </c>
      <c r="C148" s="913"/>
      <c r="D148" s="49" t="s">
        <v>192</v>
      </c>
      <c r="E148" s="935" t="s">
        <v>1863</v>
      </c>
      <c r="F148" s="353"/>
      <c r="G148" s="12" t="s">
        <v>373</v>
      </c>
      <c r="H148" s="7" t="s">
        <v>110</v>
      </c>
      <c r="I148" s="27">
        <v>12</v>
      </c>
      <c r="J148" s="353">
        <v>91</v>
      </c>
      <c r="K148" s="9">
        <f>J148*$S$3</f>
        <v>119.21000000000001</v>
      </c>
      <c r="L148" s="9">
        <v>16.8</v>
      </c>
      <c r="M148" s="9">
        <f t="shared" si="10"/>
        <v>139.24</v>
      </c>
      <c r="N148" s="899">
        <v>0</v>
      </c>
      <c r="O148" s="900">
        <f t="shared" si="8"/>
        <v>12</v>
      </c>
      <c r="P148" s="901">
        <f t="shared" si="11"/>
        <v>1670.88</v>
      </c>
      <c r="Q148" s="873"/>
      <c r="R148" s="873"/>
      <c r="S148" s="840"/>
      <c r="T148" s="853"/>
    </row>
    <row r="149" spans="1:20" s="610" customFormat="1">
      <c r="A149" s="915"/>
      <c r="B149" s="919" t="s">
        <v>2457</v>
      </c>
      <c r="C149" s="913"/>
      <c r="D149" s="49" t="s">
        <v>280</v>
      </c>
      <c r="E149" s="935" t="s">
        <v>1864</v>
      </c>
      <c r="F149" s="353"/>
      <c r="G149" s="12" t="s">
        <v>372</v>
      </c>
      <c r="H149" s="7" t="s">
        <v>110</v>
      </c>
      <c r="I149" s="27">
        <v>2.2000000000000002</v>
      </c>
      <c r="J149" s="353">
        <v>43</v>
      </c>
      <c r="K149" s="9">
        <f>J149*$S$3</f>
        <v>56.330000000000005</v>
      </c>
      <c r="L149" s="9">
        <v>16.8</v>
      </c>
      <c r="M149" s="9">
        <f t="shared" si="10"/>
        <v>65.790000000000006</v>
      </c>
      <c r="N149" s="899">
        <v>0</v>
      </c>
      <c r="O149" s="900">
        <f t="shared" si="8"/>
        <v>2.2000000000000002</v>
      </c>
      <c r="P149" s="901">
        <f t="shared" si="11"/>
        <v>144.74</v>
      </c>
      <c r="Q149" s="873"/>
      <c r="R149" s="873"/>
      <c r="S149" s="840"/>
      <c r="T149" s="853"/>
    </row>
    <row r="150" spans="1:20" s="318" customFormat="1">
      <c r="A150" s="915"/>
      <c r="B150" s="919"/>
      <c r="C150" s="913"/>
      <c r="D150" s="49" t="s">
        <v>16</v>
      </c>
      <c r="E150" s="349"/>
      <c r="F150" s="16"/>
      <c r="G150" s="12" t="s">
        <v>371</v>
      </c>
      <c r="H150" s="7"/>
      <c r="I150" s="27"/>
      <c r="J150" s="16"/>
      <c r="K150" s="16"/>
      <c r="L150" s="9"/>
      <c r="M150" s="9"/>
      <c r="N150" s="899"/>
      <c r="O150" s="900"/>
      <c r="P150" s="901"/>
      <c r="Q150" s="874"/>
      <c r="R150" s="874"/>
      <c r="S150" s="841"/>
      <c r="T150" s="854"/>
    </row>
    <row r="151" spans="1:20" s="610" customFormat="1">
      <c r="A151" s="915"/>
      <c r="B151" s="919" t="s">
        <v>2457</v>
      </c>
      <c r="C151" s="913"/>
      <c r="D151" s="49" t="s">
        <v>270</v>
      </c>
      <c r="E151" s="935" t="s">
        <v>1865</v>
      </c>
      <c r="F151" s="353"/>
      <c r="G151" s="12" t="s">
        <v>370</v>
      </c>
      <c r="H151" s="7" t="s">
        <v>246</v>
      </c>
      <c r="I151" s="27">
        <v>8</v>
      </c>
      <c r="J151" s="353">
        <v>5</v>
      </c>
      <c r="K151" s="9">
        <f>J151*$S$3</f>
        <v>6.5500000000000007</v>
      </c>
      <c r="L151" s="9">
        <v>16.8</v>
      </c>
      <c r="M151" s="9">
        <f t="shared" si="10"/>
        <v>7.65</v>
      </c>
      <c r="N151" s="899">
        <v>0</v>
      </c>
      <c r="O151" s="900">
        <f t="shared" si="8"/>
        <v>8</v>
      </c>
      <c r="P151" s="901">
        <f t="shared" si="11"/>
        <v>61.2</v>
      </c>
      <c r="Q151" s="873"/>
      <c r="R151" s="873"/>
      <c r="S151" s="840"/>
      <c r="T151" s="853"/>
    </row>
    <row r="152" spans="1:20" s="610" customFormat="1">
      <c r="A152" s="915"/>
      <c r="B152" s="919" t="s">
        <v>2457</v>
      </c>
      <c r="C152" s="913"/>
      <c r="D152" s="49" t="s">
        <v>369</v>
      </c>
      <c r="E152" s="935" t="s">
        <v>1866</v>
      </c>
      <c r="F152" s="353"/>
      <c r="G152" s="12" t="s">
        <v>368</v>
      </c>
      <c r="H152" s="7" t="s">
        <v>246</v>
      </c>
      <c r="I152" s="27">
        <v>2</v>
      </c>
      <c r="J152" s="353">
        <v>18</v>
      </c>
      <c r="K152" s="9">
        <f>J152*$S$3</f>
        <v>23.580000000000002</v>
      </c>
      <c r="L152" s="9">
        <v>16.8</v>
      </c>
      <c r="M152" s="9">
        <f t="shared" si="10"/>
        <v>27.54</v>
      </c>
      <c r="N152" s="899">
        <v>0</v>
      </c>
      <c r="O152" s="900">
        <f t="shared" si="8"/>
        <v>2</v>
      </c>
      <c r="P152" s="901">
        <f t="shared" si="11"/>
        <v>55.08</v>
      </c>
      <c r="Q152" s="873"/>
      <c r="R152" s="873"/>
      <c r="S152" s="840"/>
      <c r="T152" s="853"/>
    </row>
    <row r="153" spans="1:20" s="610" customFormat="1">
      <c r="A153" s="915"/>
      <c r="B153" s="919" t="s">
        <v>2457</v>
      </c>
      <c r="C153" s="913"/>
      <c r="D153" s="49" t="s">
        <v>367</v>
      </c>
      <c r="E153" s="935" t="s">
        <v>1867</v>
      </c>
      <c r="F153" s="353"/>
      <c r="G153" s="12" t="s">
        <v>366</v>
      </c>
      <c r="H153" s="7" t="s">
        <v>246</v>
      </c>
      <c r="I153" s="27">
        <v>8</v>
      </c>
      <c r="J153" s="353">
        <v>35</v>
      </c>
      <c r="K153" s="9">
        <f>J153*$S$3</f>
        <v>45.85</v>
      </c>
      <c r="L153" s="9">
        <v>16.8</v>
      </c>
      <c r="M153" s="9">
        <f t="shared" si="10"/>
        <v>53.55</v>
      </c>
      <c r="N153" s="899">
        <v>0</v>
      </c>
      <c r="O153" s="900">
        <f t="shared" si="8"/>
        <v>8</v>
      </c>
      <c r="P153" s="901">
        <f t="shared" si="11"/>
        <v>428.4</v>
      </c>
      <c r="Q153" s="873"/>
      <c r="R153" s="873"/>
      <c r="S153" s="840"/>
      <c r="T153" s="853"/>
    </row>
    <row r="154" spans="1:20" s="610" customFormat="1">
      <c r="A154" s="915"/>
      <c r="B154" s="919" t="s">
        <v>2457</v>
      </c>
      <c r="C154" s="913"/>
      <c r="D154" s="49" t="s">
        <v>365</v>
      </c>
      <c r="E154" s="935" t="s">
        <v>1868</v>
      </c>
      <c r="F154" s="353"/>
      <c r="G154" s="12" t="s">
        <v>364</v>
      </c>
      <c r="H154" s="7" t="s">
        <v>246</v>
      </c>
      <c r="I154" s="27">
        <v>1</v>
      </c>
      <c r="J154" s="353">
        <v>50</v>
      </c>
      <c r="K154" s="9">
        <f>J154*$S$3</f>
        <v>65.5</v>
      </c>
      <c r="L154" s="9">
        <v>16.8</v>
      </c>
      <c r="M154" s="9">
        <f t="shared" si="10"/>
        <v>76.5</v>
      </c>
      <c r="N154" s="899">
        <v>0</v>
      </c>
      <c r="O154" s="900">
        <f t="shared" si="8"/>
        <v>1</v>
      </c>
      <c r="P154" s="901">
        <f t="shared" si="11"/>
        <v>76.5</v>
      </c>
      <c r="Q154" s="873"/>
      <c r="R154" s="873"/>
      <c r="S154" s="840"/>
      <c r="T154" s="853"/>
    </row>
    <row r="155" spans="1:20" s="318" customFormat="1">
      <c r="A155" s="915"/>
      <c r="B155" s="919"/>
      <c r="C155" s="913"/>
      <c r="D155" s="49" t="s">
        <v>15</v>
      </c>
      <c r="E155" s="128"/>
      <c r="F155" s="112"/>
      <c r="G155" s="204" t="s">
        <v>325</v>
      </c>
      <c r="H155" s="201"/>
      <c r="I155" s="202"/>
      <c r="J155" s="203"/>
      <c r="K155" s="203"/>
      <c r="L155" s="9"/>
      <c r="M155" s="9"/>
      <c r="N155" s="899"/>
      <c r="O155" s="900"/>
      <c r="P155" s="901"/>
      <c r="Q155" s="874"/>
      <c r="R155" s="874"/>
      <c r="S155" s="841"/>
      <c r="T155" s="854"/>
    </row>
    <row r="156" spans="1:20" s="610" customFormat="1" ht="25.5">
      <c r="A156" s="915"/>
      <c r="B156" s="919"/>
      <c r="C156" s="913"/>
      <c r="D156" s="49" t="s">
        <v>249</v>
      </c>
      <c r="E156" s="349" t="s">
        <v>362</v>
      </c>
      <c r="F156" s="16"/>
      <c r="G156" s="12" t="s">
        <v>363</v>
      </c>
      <c r="H156" s="7" t="s">
        <v>110</v>
      </c>
      <c r="I156" s="27">
        <v>3.5</v>
      </c>
      <c r="J156" s="9">
        <v>213.12</v>
      </c>
      <c r="K156" s="9">
        <f t="shared" ref="K156:K163" si="12">J156*$S$3</f>
        <v>279.18720000000002</v>
      </c>
      <c r="L156" s="9">
        <v>16.8</v>
      </c>
      <c r="M156" s="9">
        <f t="shared" si="10"/>
        <v>326.08999999999997</v>
      </c>
      <c r="N156" s="899">
        <v>0</v>
      </c>
      <c r="O156" s="900">
        <f t="shared" si="8"/>
        <v>3.5</v>
      </c>
      <c r="P156" s="901">
        <f t="shared" si="11"/>
        <v>1141.32</v>
      </c>
      <c r="Q156" s="873"/>
      <c r="R156" s="873"/>
      <c r="S156" s="840"/>
      <c r="T156" s="853"/>
    </row>
    <row r="157" spans="1:20" s="610" customFormat="1" ht="25.5">
      <c r="A157" s="915"/>
      <c r="B157" s="919"/>
      <c r="C157" s="913"/>
      <c r="D157" s="49" t="s">
        <v>265</v>
      </c>
      <c r="E157" s="349" t="s">
        <v>329</v>
      </c>
      <c r="F157" s="16"/>
      <c r="G157" s="12" t="s">
        <v>361</v>
      </c>
      <c r="H157" s="7" t="s">
        <v>326</v>
      </c>
      <c r="I157" s="27">
        <v>13</v>
      </c>
      <c r="J157" s="9">
        <v>378.23</v>
      </c>
      <c r="K157" s="9">
        <f t="shared" si="12"/>
        <v>495.48130000000003</v>
      </c>
      <c r="L157" s="9">
        <v>16.8</v>
      </c>
      <c r="M157" s="9">
        <f t="shared" si="10"/>
        <v>578.72</v>
      </c>
      <c r="N157" s="899">
        <v>0</v>
      </c>
      <c r="O157" s="900">
        <f t="shared" si="8"/>
        <v>13</v>
      </c>
      <c r="P157" s="901">
        <f t="shared" si="11"/>
        <v>7523.36</v>
      </c>
      <c r="Q157" s="873"/>
      <c r="R157" s="873"/>
      <c r="S157" s="840"/>
      <c r="T157" s="853"/>
    </row>
    <row r="158" spans="1:20" s="610" customFormat="1" ht="25.5">
      <c r="A158" s="915"/>
      <c r="B158" s="919"/>
      <c r="C158" s="913"/>
      <c r="D158" s="49" t="s">
        <v>263</v>
      </c>
      <c r="E158" s="349" t="s">
        <v>359</v>
      </c>
      <c r="F158" s="16"/>
      <c r="G158" s="12" t="s">
        <v>360</v>
      </c>
      <c r="H158" s="7" t="s">
        <v>326</v>
      </c>
      <c r="I158" s="27">
        <v>4</v>
      </c>
      <c r="J158" s="9">
        <v>493.56</v>
      </c>
      <c r="K158" s="9">
        <f t="shared" si="12"/>
        <v>646.56360000000006</v>
      </c>
      <c r="L158" s="9">
        <v>16.8</v>
      </c>
      <c r="M158" s="9">
        <f t="shared" si="10"/>
        <v>755.19</v>
      </c>
      <c r="N158" s="899">
        <v>0</v>
      </c>
      <c r="O158" s="900">
        <f t="shared" si="8"/>
        <v>4</v>
      </c>
      <c r="P158" s="901">
        <f t="shared" si="11"/>
        <v>3020.76</v>
      </c>
      <c r="Q158" s="873"/>
      <c r="R158" s="873"/>
      <c r="S158" s="840"/>
      <c r="T158" s="853"/>
    </row>
    <row r="159" spans="1:20" s="610" customFormat="1">
      <c r="A159" s="915"/>
      <c r="B159" s="919"/>
      <c r="C159" s="913"/>
      <c r="D159" s="49" t="s">
        <v>358</v>
      </c>
      <c r="E159" s="935" t="s">
        <v>1869</v>
      </c>
      <c r="F159" s="353"/>
      <c r="G159" s="12" t="s">
        <v>357</v>
      </c>
      <c r="H159" s="7" t="s">
        <v>246</v>
      </c>
      <c r="I159" s="27">
        <v>10</v>
      </c>
      <c r="J159" s="9">
        <v>2.15</v>
      </c>
      <c r="K159" s="9">
        <f t="shared" si="12"/>
        <v>2.8165</v>
      </c>
      <c r="L159" s="9">
        <v>16.8</v>
      </c>
      <c r="M159" s="9">
        <f t="shared" si="10"/>
        <v>3.29</v>
      </c>
      <c r="N159" s="899">
        <v>0</v>
      </c>
      <c r="O159" s="900">
        <f t="shared" si="8"/>
        <v>10</v>
      </c>
      <c r="P159" s="901">
        <f t="shared" si="11"/>
        <v>32.9</v>
      </c>
      <c r="Q159" s="873"/>
      <c r="R159" s="873"/>
      <c r="S159" s="840"/>
      <c r="T159" s="853"/>
    </row>
    <row r="160" spans="1:20" s="610" customFormat="1">
      <c r="A160" s="915"/>
      <c r="B160" s="919"/>
      <c r="C160" s="913"/>
      <c r="D160" s="49" t="s">
        <v>356</v>
      </c>
      <c r="E160" s="935" t="s">
        <v>1870</v>
      </c>
      <c r="F160" s="353"/>
      <c r="G160" s="12" t="s">
        <v>355</v>
      </c>
      <c r="H160" s="7" t="s">
        <v>246</v>
      </c>
      <c r="I160" s="27">
        <v>3</v>
      </c>
      <c r="J160" s="9">
        <v>5.19</v>
      </c>
      <c r="K160" s="9">
        <f t="shared" si="12"/>
        <v>6.7989000000000006</v>
      </c>
      <c r="L160" s="9">
        <v>16.8</v>
      </c>
      <c r="M160" s="9">
        <f t="shared" si="10"/>
        <v>7.94</v>
      </c>
      <c r="N160" s="899">
        <v>0</v>
      </c>
      <c r="O160" s="900">
        <f t="shared" si="8"/>
        <v>3</v>
      </c>
      <c r="P160" s="901">
        <f t="shared" si="11"/>
        <v>23.82</v>
      </c>
      <c r="Q160" s="873"/>
      <c r="R160" s="873"/>
      <c r="S160" s="840"/>
      <c r="T160" s="853"/>
    </row>
    <row r="161" spans="1:20" s="610" customFormat="1" ht="25.5">
      <c r="A161" s="915"/>
      <c r="B161" s="919"/>
      <c r="C161" s="913"/>
      <c r="D161" s="49" t="s">
        <v>354</v>
      </c>
      <c r="E161" s="935" t="s">
        <v>1871</v>
      </c>
      <c r="F161" s="353"/>
      <c r="G161" s="12" t="s">
        <v>353</v>
      </c>
      <c r="H161" s="7" t="s">
        <v>246</v>
      </c>
      <c r="I161" s="27">
        <v>2</v>
      </c>
      <c r="J161" s="353">
        <v>21</v>
      </c>
      <c r="K161" s="9">
        <f t="shared" si="12"/>
        <v>27.51</v>
      </c>
      <c r="L161" s="9">
        <v>16.8</v>
      </c>
      <c r="M161" s="9">
        <f t="shared" si="10"/>
        <v>32.130000000000003</v>
      </c>
      <c r="N161" s="899">
        <v>0</v>
      </c>
      <c r="O161" s="900">
        <f t="shared" si="8"/>
        <v>2</v>
      </c>
      <c r="P161" s="901">
        <f t="shared" si="11"/>
        <v>64.260000000000005</v>
      </c>
      <c r="Q161" s="873"/>
      <c r="R161" s="873"/>
      <c r="S161" s="840"/>
      <c r="T161" s="853"/>
    </row>
    <row r="162" spans="1:20" s="610" customFormat="1" ht="25.5">
      <c r="A162" s="915"/>
      <c r="B162" s="919"/>
      <c r="C162" s="913"/>
      <c r="D162" s="49" t="s">
        <v>352</v>
      </c>
      <c r="E162" s="935" t="s">
        <v>1872</v>
      </c>
      <c r="F162" s="353"/>
      <c r="G162" s="12" t="s">
        <v>351</v>
      </c>
      <c r="H162" s="7" t="s">
        <v>246</v>
      </c>
      <c r="I162" s="27">
        <v>4</v>
      </c>
      <c r="J162" s="353">
        <v>3.5</v>
      </c>
      <c r="K162" s="9">
        <f t="shared" si="12"/>
        <v>4.585</v>
      </c>
      <c r="L162" s="9">
        <v>16.8</v>
      </c>
      <c r="M162" s="9">
        <f t="shared" si="10"/>
        <v>5.36</v>
      </c>
      <c r="N162" s="899">
        <v>0</v>
      </c>
      <c r="O162" s="900">
        <f t="shared" si="8"/>
        <v>4</v>
      </c>
      <c r="P162" s="901">
        <f t="shared" si="11"/>
        <v>21.44</v>
      </c>
      <c r="Q162" s="873"/>
      <c r="R162" s="873"/>
      <c r="S162" s="840"/>
      <c r="T162" s="853"/>
    </row>
    <row r="163" spans="1:20" s="610" customFormat="1">
      <c r="A163" s="915"/>
      <c r="B163" s="919"/>
      <c r="C163" s="913"/>
      <c r="D163" s="49" t="s">
        <v>350</v>
      </c>
      <c r="E163" s="935" t="s">
        <v>1873</v>
      </c>
      <c r="F163" s="353"/>
      <c r="G163" s="12" t="s">
        <v>349</v>
      </c>
      <c r="H163" s="7" t="s">
        <v>246</v>
      </c>
      <c r="I163" s="27">
        <v>2</v>
      </c>
      <c r="J163" s="353">
        <v>9.81</v>
      </c>
      <c r="K163" s="9">
        <f t="shared" si="12"/>
        <v>12.851100000000001</v>
      </c>
      <c r="L163" s="9">
        <v>16.8</v>
      </c>
      <c r="M163" s="9">
        <f t="shared" si="10"/>
        <v>15.01</v>
      </c>
      <c r="N163" s="899">
        <v>0</v>
      </c>
      <c r="O163" s="900">
        <f t="shared" ref="O163:O226" si="13">I163-N163</f>
        <v>2</v>
      </c>
      <c r="P163" s="901">
        <f t="shared" si="11"/>
        <v>30.02</v>
      </c>
      <c r="Q163" s="873"/>
      <c r="R163" s="873"/>
      <c r="S163" s="840"/>
      <c r="T163" s="853"/>
    </row>
    <row r="164" spans="1:20">
      <c r="D164" s="49"/>
      <c r="E164" s="349"/>
      <c r="F164" s="16"/>
      <c r="G164" s="12"/>
      <c r="H164" s="7"/>
      <c r="I164" s="27"/>
      <c r="J164" s="9"/>
      <c r="K164" s="9"/>
      <c r="L164" s="9"/>
      <c r="M164" s="9"/>
      <c r="N164" s="926"/>
      <c r="O164" s="900"/>
      <c r="P164" s="901"/>
      <c r="Q164" s="874"/>
      <c r="R164" s="874"/>
      <c r="S164" s="841"/>
      <c r="T164" s="854"/>
    </row>
    <row r="165" spans="1:20">
      <c r="D165" s="49"/>
      <c r="E165" s="14"/>
      <c r="F165" s="14"/>
      <c r="G165" s="14"/>
      <c r="H165" s="7"/>
      <c r="I165" s="27"/>
      <c r="J165" s="9"/>
      <c r="K165" s="9"/>
      <c r="L165" s="9"/>
      <c r="M165" s="9"/>
      <c r="N165" s="936"/>
      <c r="O165" s="900"/>
      <c r="P165" s="901"/>
      <c r="Q165" s="874"/>
      <c r="R165" s="874"/>
      <c r="S165" s="841"/>
      <c r="T165" s="854"/>
    </row>
    <row r="166" spans="1:20" s="299" customFormat="1">
      <c r="A166" s="918"/>
      <c r="B166" s="922"/>
      <c r="C166" s="924"/>
      <c r="D166" s="929"/>
      <c r="E166" s="930"/>
      <c r="F166" s="929"/>
      <c r="G166" s="930" t="s">
        <v>70</v>
      </c>
      <c r="H166" s="929">
        <f>D124</f>
        <v>9</v>
      </c>
      <c r="I166" s="929"/>
      <c r="J166" s="929"/>
      <c r="K166" s="929"/>
      <c r="L166" s="929"/>
      <c r="M166" s="9"/>
      <c r="N166" s="937"/>
      <c r="O166" s="900"/>
      <c r="P166" s="901">
        <f>SUM(P130:P163)</f>
        <v>125971.76000000001</v>
      </c>
      <c r="Q166" s="874"/>
      <c r="R166" s="874"/>
      <c r="S166" s="841"/>
      <c r="T166" s="854"/>
    </row>
    <row r="167" spans="1:20">
      <c r="D167" s="44"/>
      <c r="E167" s="296"/>
      <c r="F167" s="44"/>
      <c r="G167" s="44"/>
      <c r="H167" s="44"/>
      <c r="I167" s="44"/>
      <c r="J167" s="302"/>
      <c r="K167" s="302"/>
      <c r="L167" s="44"/>
      <c r="M167" s="9"/>
      <c r="N167" s="375"/>
      <c r="O167" s="789"/>
      <c r="P167" s="862"/>
      <c r="Q167" s="871"/>
      <c r="R167" s="871"/>
    </row>
    <row r="168" spans="1:20" s="310" customFormat="1">
      <c r="A168" s="915"/>
      <c r="B168" s="919"/>
      <c r="C168" s="913"/>
      <c r="D168" s="108">
        <v>11</v>
      </c>
      <c r="E168" s="813"/>
      <c r="F168" s="109"/>
      <c r="G168" s="108" t="s">
        <v>1961</v>
      </c>
      <c r="H168" s="109"/>
      <c r="I168" s="109"/>
      <c r="J168" s="109"/>
      <c r="K168" s="109"/>
      <c r="L168" s="109"/>
      <c r="M168" s="791"/>
      <c r="N168" s="378"/>
      <c r="O168" s="792"/>
      <c r="P168" s="864"/>
      <c r="Q168" s="872"/>
      <c r="R168" s="872"/>
      <c r="S168" s="842"/>
      <c r="T168" s="852"/>
    </row>
    <row r="169" spans="1:20">
      <c r="D169" s="384"/>
      <c r="E169" s="931"/>
      <c r="F169" s="384"/>
      <c r="G169" s="384"/>
      <c r="H169" s="384"/>
      <c r="I169" s="384"/>
      <c r="J169" s="384"/>
      <c r="K169" s="384"/>
      <c r="L169" s="384"/>
      <c r="M169" s="9"/>
      <c r="N169" s="926"/>
      <c r="O169" s="900"/>
      <c r="P169" s="901"/>
      <c r="Q169" s="874"/>
      <c r="R169" s="874"/>
      <c r="S169" s="841"/>
      <c r="T169" s="854"/>
    </row>
    <row r="170" spans="1:20" ht="25.5">
      <c r="D170" s="45"/>
      <c r="E170" s="14"/>
      <c r="F170" s="46"/>
      <c r="G170" s="46" t="s">
        <v>342</v>
      </c>
      <c r="H170" s="47"/>
      <c r="I170" s="48"/>
      <c r="J170" s="54"/>
      <c r="K170" s="54"/>
      <c r="L170" s="54"/>
      <c r="M170" s="9"/>
      <c r="N170" s="926"/>
      <c r="O170" s="900"/>
      <c r="P170" s="901"/>
      <c r="Q170" s="874"/>
      <c r="R170" s="874"/>
      <c r="S170" s="841"/>
      <c r="T170" s="854"/>
    </row>
    <row r="171" spans="1:20">
      <c r="D171" s="45"/>
      <c r="E171" s="14"/>
      <c r="F171" s="46"/>
      <c r="G171" s="46"/>
      <c r="H171" s="47"/>
      <c r="I171" s="48"/>
      <c r="J171" s="54"/>
      <c r="K171" s="54"/>
      <c r="L171" s="54"/>
      <c r="M171" s="9"/>
      <c r="N171" s="926"/>
      <c r="O171" s="900"/>
      <c r="P171" s="901"/>
      <c r="Q171" s="874"/>
      <c r="R171" s="874"/>
      <c r="S171" s="841"/>
      <c r="T171" s="854"/>
    </row>
    <row r="172" spans="1:20">
      <c r="D172" s="45">
        <v>1</v>
      </c>
      <c r="E172" s="56"/>
      <c r="F172" s="200"/>
      <c r="G172" s="200" t="s">
        <v>420</v>
      </c>
      <c r="H172" s="18"/>
      <c r="I172" s="36"/>
      <c r="J172" s="19"/>
      <c r="K172" s="19"/>
      <c r="L172" s="19"/>
      <c r="M172" s="9"/>
      <c r="N172" s="926"/>
      <c r="O172" s="900"/>
      <c r="P172" s="901"/>
      <c r="Q172" s="874"/>
      <c r="R172" s="874"/>
      <c r="S172" s="841"/>
      <c r="T172" s="854"/>
    </row>
    <row r="173" spans="1:20" s="344" customFormat="1" ht="25.5">
      <c r="A173" s="915"/>
      <c r="B173" s="919"/>
      <c r="C173" s="913"/>
      <c r="D173" s="49" t="s">
        <v>20</v>
      </c>
      <c r="E173" s="805">
        <f>'[3]Plan Tron'!B225</f>
        <v>4767</v>
      </c>
      <c r="F173" s="805" t="str">
        <f>'[3]Plan Tron'!C225</f>
        <v>SINAPI (INSUMO)</v>
      </c>
      <c r="G173" s="643" t="str">
        <f>'[3]Plan Tron'!D225</f>
        <v xml:space="preserve">PERFIL "I" DE ACO LAMINADO, "I" 152 X 22 </v>
      </c>
      <c r="H173" s="805" t="str">
        <f>'[3]Plan Tron'!E225</f>
        <v>M</v>
      </c>
      <c r="I173" s="36">
        <v>9.9</v>
      </c>
      <c r="J173" s="19">
        <v>77.66</v>
      </c>
      <c r="K173" s="19">
        <f>'[3]Plan Tron'!F225</f>
        <v>82.43</v>
      </c>
      <c r="L173" s="19">
        <v>16.8</v>
      </c>
      <c r="M173" s="9">
        <f t="shared" si="10"/>
        <v>96.28</v>
      </c>
      <c r="N173" s="899">
        <v>0</v>
      </c>
      <c r="O173" s="900">
        <f t="shared" si="13"/>
        <v>9.9</v>
      </c>
      <c r="P173" s="901">
        <f t="shared" si="11"/>
        <v>953.17</v>
      </c>
      <c r="Q173" s="874"/>
      <c r="R173" s="874"/>
      <c r="S173" s="841"/>
      <c r="T173" s="854"/>
    </row>
    <row r="174" spans="1:20" s="800" customFormat="1" ht="25.5">
      <c r="A174" s="915"/>
      <c r="B174" s="919"/>
      <c r="C174" s="913"/>
      <c r="D174" s="49" t="s">
        <v>19</v>
      </c>
      <c r="E174" s="830" t="s">
        <v>418</v>
      </c>
      <c r="F174" s="805" t="s">
        <v>2017</v>
      </c>
      <c r="G174" s="12" t="s">
        <v>419</v>
      </c>
      <c r="H174" s="7" t="s">
        <v>99</v>
      </c>
      <c r="I174" s="27">
        <v>384.68</v>
      </c>
      <c r="J174" s="9">
        <v>2.78</v>
      </c>
      <c r="K174" s="9">
        <f>J174*$S$3</f>
        <v>3.6417999999999999</v>
      </c>
      <c r="L174" s="19">
        <v>16.8</v>
      </c>
      <c r="M174" s="9">
        <f t="shared" si="10"/>
        <v>4.25</v>
      </c>
      <c r="N174" s="899">
        <v>0</v>
      </c>
      <c r="O174" s="900">
        <f t="shared" si="13"/>
        <v>384.68</v>
      </c>
      <c r="P174" s="901">
        <f t="shared" si="11"/>
        <v>1634.89</v>
      </c>
      <c r="Q174" s="875"/>
      <c r="R174" s="875"/>
      <c r="S174" s="844"/>
      <c r="T174" s="857"/>
    </row>
    <row r="175" spans="1:20" s="344" customFormat="1" ht="25.5">
      <c r="A175" s="915"/>
      <c r="B175" s="919"/>
      <c r="C175" s="913"/>
      <c r="D175" s="49" t="s">
        <v>18</v>
      </c>
      <c r="E175" s="805">
        <f>'[3]Plan Tron'!B226</f>
        <v>11977</v>
      </c>
      <c r="F175" s="805" t="str">
        <f>'[3]Plan Tron'!C226</f>
        <v>SINAPI (INSUMO)</v>
      </c>
      <c r="G175" s="643" t="str">
        <f>'[3]Plan Tron'!D226</f>
        <v xml:space="preserve">CHUMBADOR DE ACO, DIAMETRO 1/2", COMPRIMENTO 75 MM </v>
      </c>
      <c r="H175" s="805" t="str">
        <f>'[3]Plan Tron'!E226</f>
        <v>UN.</v>
      </c>
      <c r="I175" s="36">
        <v>24</v>
      </c>
      <c r="J175" s="19">
        <v>5.66</v>
      </c>
      <c r="K175" s="19">
        <f>'[3]Plan Tron'!F226</f>
        <v>7.23</v>
      </c>
      <c r="L175" s="19">
        <v>16.8</v>
      </c>
      <c r="M175" s="9">
        <f t="shared" si="10"/>
        <v>8.44</v>
      </c>
      <c r="N175" s="899">
        <v>0</v>
      </c>
      <c r="O175" s="900">
        <f t="shared" si="13"/>
        <v>24</v>
      </c>
      <c r="P175" s="901">
        <f t="shared" si="11"/>
        <v>202.56</v>
      </c>
      <c r="Q175" s="874"/>
      <c r="R175" s="874"/>
      <c r="S175" s="841"/>
      <c r="T175" s="854"/>
    </row>
    <row r="176" spans="1:20">
      <c r="D176" s="49"/>
      <c r="E176" s="349"/>
      <c r="F176" s="16"/>
      <c r="G176" s="12"/>
      <c r="H176" s="7"/>
      <c r="I176" s="27"/>
      <c r="J176" s="9"/>
      <c r="K176" s="9"/>
      <c r="L176" s="9"/>
      <c r="M176" s="9"/>
      <c r="N176" s="926"/>
      <c r="O176" s="900"/>
      <c r="P176" s="901"/>
      <c r="Q176" s="874"/>
      <c r="R176" s="874"/>
      <c r="S176" s="841"/>
      <c r="T176" s="854"/>
    </row>
    <row r="177" spans="1:20">
      <c r="D177" s="49"/>
      <c r="E177" s="14"/>
      <c r="F177" s="14"/>
      <c r="G177" s="14"/>
      <c r="H177" s="7"/>
      <c r="I177" s="27"/>
      <c r="J177" s="9"/>
      <c r="K177" s="9"/>
      <c r="L177" s="9"/>
      <c r="M177" s="9"/>
      <c r="N177" s="936"/>
      <c r="O177" s="900"/>
      <c r="P177" s="901"/>
      <c r="Q177" s="874"/>
      <c r="R177" s="874"/>
      <c r="S177" s="841"/>
      <c r="T177" s="854"/>
    </row>
    <row r="178" spans="1:20" s="299" customFormat="1">
      <c r="A178" s="918"/>
      <c r="B178" s="922"/>
      <c r="C178" s="924"/>
      <c r="D178" s="929"/>
      <c r="E178" s="930"/>
      <c r="F178" s="929"/>
      <c r="G178" s="930" t="s">
        <v>70</v>
      </c>
      <c r="H178" s="929">
        <f>D168</f>
        <v>11</v>
      </c>
      <c r="I178" s="929"/>
      <c r="J178" s="929"/>
      <c r="K178" s="929"/>
      <c r="L178" s="929"/>
      <c r="M178" s="9"/>
      <c r="N178" s="937"/>
      <c r="O178" s="900"/>
      <c r="P178" s="901">
        <f>SUM(P173:P175)</f>
        <v>2790.62</v>
      </c>
      <c r="Q178" s="874"/>
      <c r="R178" s="874"/>
      <c r="S178" s="841"/>
      <c r="T178" s="854"/>
    </row>
    <row r="179" spans="1:20">
      <c r="D179" s="44"/>
      <c r="E179" s="296"/>
      <c r="F179" s="44"/>
      <c r="G179" s="44"/>
      <c r="H179" s="44"/>
      <c r="I179" s="44"/>
      <c r="J179" s="302"/>
      <c r="K179" s="302"/>
      <c r="L179" s="44"/>
      <c r="M179" s="9"/>
      <c r="N179" s="375"/>
      <c r="O179" s="789"/>
      <c r="P179" s="863"/>
      <c r="Q179" s="874"/>
      <c r="R179" s="874"/>
      <c r="S179" s="841"/>
      <c r="T179" s="854"/>
    </row>
    <row r="180" spans="1:20" s="310" customFormat="1">
      <c r="A180" s="915"/>
      <c r="B180" s="919"/>
      <c r="C180" s="913"/>
      <c r="D180" s="108">
        <v>13</v>
      </c>
      <c r="E180" s="813"/>
      <c r="F180" s="109"/>
      <c r="G180" s="108" t="s">
        <v>2</v>
      </c>
      <c r="H180" s="109"/>
      <c r="I180" s="109"/>
      <c r="J180" s="109"/>
      <c r="K180" s="109"/>
      <c r="L180" s="109"/>
      <c r="M180" s="791"/>
      <c r="N180" s="378"/>
      <c r="O180" s="792"/>
      <c r="P180" s="864"/>
      <c r="Q180" s="872"/>
      <c r="R180" s="872"/>
      <c r="S180" s="842"/>
      <c r="T180" s="852"/>
    </row>
    <row r="181" spans="1:20" s="310" customFormat="1">
      <c r="A181" s="915"/>
      <c r="B181" s="919"/>
      <c r="C181" s="913"/>
      <c r="D181" s="108" t="s">
        <v>66</v>
      </c>
      <c r="E181" s="813"/>
      <c r="F181" s="109"/>
      <c r="G181" s="108" t="s">
        <v>2</v>
      </c>
      <c r="H181" s="109"/>
      <c r="I181" s="109"/>
      <c r="J181" s="109"/>
      <c r="K181" s="109"/>
      <c r="L181" s="109"/>
      <c r="M181" s="791"/>
      <c r="N181" s="378"/>
      <c r="O181" s="792"/>
      <c r="P181" s="864"/>
      <c r="Q181" s="872"/>
      <c r="R181" s="872"/>
      <c r="S181" s="842"/>
      <c r="T181" s="852"/>
    </row>
    <row r="182" spans="1:20">
      <c r="D182" s="384"/>
      <c r="E182" s="931"/>
      <c r="F182" s="384"/>
      <c r="G182" s="384"/>
      <c r="H182" s="384"/>
      <c r="I182" s="384"/>
      <c r="J182" s="384"/>
      <c r="K182" s="384"/>
      <c r="L182" s="384"/>
      <c r="M182" s="9"/>
      <c r="N182" s="926"/>
      <c r="O182" s="900"/>
      <c r="P182" s="901"/>
      <c r="Q182" s="874"/>
      <c r="R182" s="874"/>
      <c r="S182" s="841"/>
      <c r="T182" s="854"/>
    </row>
    <row r="183" spans="1:20" ht="25.5">
      <c r="D183" s="207"/>
      <c r="E183" s="56"/>
      <c r="F183" s="168"/>
      <c r="G183" s="168" t="s">
        <v>342</v>
      </c>
      <c r="H183" s="43"/>
      <c r="I183" s="208"/>
      <c r="J183" s="209"/>
      <c r="K183" s="209"/>
      <c r="L183" s="209"/>
      <c r="M183" s="9"/>
      <c r="N183" s="926"/>
      <c r="O183" s="900"/>
      <c r="P183" s="901"/>
      <c r="Q183" s="874"/>
      <c r="R183" s="874"/>
      <c r="S183" s="841"/>
      <c r="T183" s="854"/>
    </row>
    <row r="184" spans="1:20">
      <c r="D184" s="207"/>
      <c r="E184" s="56"/>
      <c r="F184" s="168"/>
      <c r="G184" s="168"/>
      <c r="H184" s="43"/>
      <c r="I184" s="208"/>
      <c r="J184" s="209"/>
      <c r="K184" s="209"/>
      <c r="L184" s="209"/>
      <c r="M184" s="9"/>
      <c r="N184" s="926"/>
      <c r="O184" s="900"/>
      <c r="P184" s="901"/>
      <c r="Q184" s="874"/>
      <c r="R184" s="874"/>
      <c r="S184" s="841"/>
      <c r="T184" s="854"/>
    </row>
    <row r="185" spans="1:20">
      <c r="D185" s="59">
        <v>1</v>
      </c>
      <c r="E185" s="56"/>
      <c r="F185" s="168"/>
      <c r="G185" s="168" t="s">
        <v>767</v>
      </c>
      <c r="H185" s="210"/>
      <c r="I185" s="211"/>
      <c r="J185" s="212"/>
      <c r="K185" s="212"/>
      <c r="L185" s="212"/>
      <c r="M185" s="9"/>
      <c r="N185" s="926"/>
      <c r="O185" s="900"/>
      <c r="P185" s="901"/>
      <c r="Q185" s="874"/>
      <c r="R185" s="874"/>
      <c r="S185" s="841"/>
      <c r="T185" s="854"/>
    </row>
    <row r="186" spans="1:20">
      <c r="D186" s="55" t="s">
        <v>20</v>
      </c>
      <c r="E186" s="56"/>
      <c r="F186" s="168"/>
      <c r="G186" s="61" t="s">
        <v>766</v>
      </c>
      <c r="H186" s="43"/>
      <c r="I186" s="208"/>
      <c r="J186" s="19"/>
      <c r="K186" s="19"/>
      <c r="L186" s="19"/>
      <c r="M186" s="9"/>
      <c r="N186" s="926"/>
      <c r="O186" s="900"/>
      <c r="P186" s="901"/>
      <c r="Q186" s="874"/>
      <c r="R186" s="874"/>
      <c r="S186" s="841"/>
      <c r="T186" s="854"/>
    </row>
    <row r="187" spans="1:20" s="837" customFormat="1">
      <c r="A187" s="915"/>
      <c r="B187" s="919"/>
      <c r="C187" s="913"/>
      <c r="D187" s="55" t="s">
        <v>153</v>
      </c>
      <c r="E187" s="820" t="s">
        <v>764</v>
      </c>
      <c r="F187" s="87"/>
      <c r="G187" s="61" t="s">
        <v>765</v>
      </c>
      <c r="H187" s="18" t="s">
        <v>326</v>
      </c>
      <c r="I187" s="36">
        <v>8</v>
      </c>
      <c r="J187" s="19">
        <v>19904</v>
      </c>
      <c r="K187" s="19">
        <v>21300</v>
      </c>
      <c r="L187" s="19">
        <v>16.8</v>
      </c>
      <c r="M187" s="9">
        <f t="shared" si="10"/>
        <v>24878.400000000001</v>
      </c>
      <c r="N187" s="899">
        <v>0</v>
      </c>
      <c r="O187" s="900">
        <f t="shared" si="13"/>
        <v>8</v>
      </c>
      <c r="P187" s="901">
        <f t="shared" si="11"/>
        <v>199027.20000000001</v>
      </c>
      <c r="Q187" s="877" t="s">
        <v>2420</v>
      </c>
      <c r="R187" s="877" t="s">
        <v>2448</v>
      </c>
      <c r="S187" s="845"/>
      <c r="T187" s="858"/>
    </row>
    <row r="188" spans="1:20" s="318" customFormat="1">
      <c r="A188" s="915"/>
      <c r="B188" s="919"/>
      <c r="C188" s="913"/>
      <c r="D188" s="55" t="s">
        <v>19</v>
      </c>
      <c r="E188" s="56"/>
      <c r="F188" s="65"/>
      <c r="G188" s="61" t="s">
        <v>763</v>
      </c>
      <c r="H188" s="18"/>
      <c r="I188" s="36"/>
      <c r="J188" s="19"/>
      <c r="K188" s="19"/>
      <c r="L188" s="19"/>
      <c r="M188" s="9"/>
      <c r="N188" s="899"/>
      <c r="O188" s="900"/>
      <c r="P188" s="901"/>
      <c r="Q188" s="874"/>
      <c r="R188" s="874" t="s">
        <v>76</v>
      </c>
      <c r="S188" s="845"/>
      <c r="T188" s="854"/>
    </row>
    <row r="189" spans="1:20" s="610" customFormat="1">
      <c r="A189" s="915"/>
      <c r="B189" s="919"/>
      <c r="C189" s="913"/>
      <c r="D189" s="55" t="s">
        <v>147</v>
      </c>
      <c r="E189" s="820" t="s">
        <v>761</v>
      </c>
      <c r="F189" s="87"/>
      <c r="G189" s="114" t="s">
        <v>762</v>
      </c>
      <c r="H189" s="18" t="s">
        <v>246</v>
      </c>
      <c r="I189" s="36">
        <v>1</v>
      </c>
      <c r="J189" s="19">
        <v>861.37</v>
      </c>
      <c r="K189" s="9">
        <f>J189*$S$3</f>
        <v>1128.3947000000001</v>
      </c>
      <c r="L189" s="19">
        <v>16.8</v>
      </c>
      <c r="M189" s="9">
        <f t="shared" si="10"/>
        <v>1317.97</v>
      </c>
      <c r="N189" s="899">
        <v>0</v>
      </c>
      <c r="O189" s="900">
        <f t="shared" si="13"/>
        <v>1</v>
      </c>
      <c r="P189" s="901">
        <f t="shared" si="11"/>
        <v>1317.97</v>
      </c>
      <c r="Q189" s="873"/>
      <c r="R189" s="873" t="s">
        <v>76</v>
      </c>
      <c r="S189" s="845"/>
      <c r="T189" s="853"/>
    </row>
    <row r="190" spans="1:20" s="610" customFormat="1">
      <c r="A190" s="915"/>
      <c r="B190" s="919"/>
      <c r="C190" s="913"/>
      <c r="D190" s="55" t="s">
        <v>213</v>
      </c>
      <c r="E190" s="820" t="s">
        <v>759</v>
      </c>
      <c r="F190" s="87"/>
      <c r="G190" s="114" t="s">
        <v>760</v>
      </c>
      <c r="H190" s="18" t="s">
        <v>246</v>
      </c>
      <c r="I190" s="36">
        <v>1</v>
      </c>
      <c r="J190" s="19">
        <v>1772.14</v>
      </c>
      <c r="K190" s="9">
        <f>J190*$S$3</f>
        <v>2321.5034000000001</v>
      </c>
      <c r="L190" s="19">
        <v>16.8</v>
      </c>
      <c r="M190" s="9">
        <f t="shared" si="10"/>
        <v>2711.52</v>
      </c>
      <c r="N190" s="899">
        <v>0</v>
      </c>
      <c r="O190" s="900">
        <f t="shared" si="13"/>
        <v>1</v>
      </c>
      <c r="P190" s="901">
        <f t="shared" si="11"/>
        <v>2711.52</v>
      </c>
      <c r="Q190" s="873"/>
      <c r="R190" s="873" t="s">
        <v>76</v>
      </c>
      <c r="S190" s="845"/>
      <c r="T190" s="853"/>
    </row>
    <row r="191" spans="1:20" s="318" customFormat="1">
      <c r="A191" s="915"/>
      <c r="B191" s="919"/>
      <c r="C191" s="913"/>
      <c r="D191" s="55" t="s">
        <v>18</v>
      </c>
      <c r="E191" s="56"/>
      <c r="F191" s="65"/>
      <c r="G191" s="61" t="s">
        <v>335</v>
      </c>
      <c r="H191" s="18"/>
      <c r="I191" s="36"/>
      <c r="J191" s="19"/>
      <c r="K191" s="19"/>
      <c r="L191" s="19"/>
      <c r="M191" s="9"/>
      <c r="N191" s="899"/>
      <c r="O191" s="900"/>
      <c r="P191" s="901"/>
      <c r="Q191" s="874"/>
      <c r="R191" s="874" t="s">
        <v>76</v>
      </c>
      <c r="S191" s="845"/>
      <c r="T191" s="854"/>
    </row>
    <row r="192" spans="1:20" s="610" customFormat="1">
      <c r="A192" s="915"/>
      <c r="B192" s="919"/>
      <c r="C192" s="913"/>
      <c r="D192" s="55" t="s">
        <v>201</v>
      </c>
      <c r="E192" s="820" t="s">
        <v>757</v>
      </c>
      <c r="F192" s="87"/>
      <c r="G192" s="114" t="s">
        <v>758</v>
      </c>
      <c r="H192" s="18" t="s">
        <v>246</v>
      </c>
      <c r="I192" s="36">
        <v>2</v>
      </c>
      <c r="J192" s="19">
        <v>278.13</v>
      </c>
      <c r="K192" s="9">
        <f>J192*$S$3</f>
        <v>364.3503</v>
      </c>
      <c r="L192" s="19">
        <v>16.8</v>
      </c>
      <c r="M192" s="9">
        <f t="shared" si="10"/>
        <v>425.56</v>
      </c>
      <c r="N192" s="899">
        <v>0</v>
      </c>
      <c r="O192" s="900">
        <f t="shared" si="13"/>
        <v>2</v>
      </c>
      <c r="P192" s="901">
        <f t="shared" si="11"/>
        <v>851.12</v>
      </c>
      <c r="Q192" s="873"/>
      <c r="R192" s="873" t="s">
        <v>76</v>
      </c>
      <c r="S192" s="845"/>
      <c r="T192" s="853"/>
    </row>
    <row r="193" spans="1:20" s="610" customFormat="1">
      <c r="A193" s="915"/>
      <c r="B193" s="919"/>
      <c r="C193" s="913"/>
      <c r="D193" s="55" t="s">
        <v>198</v>
      </c>
      <c r="E193" s="820" t="s">
        <v>755</v>
      </c>
      <c r="F193" s="87"/>
      <c r="G193" s="114" t="s">
        <v>756</v>
      </c>
      <c r="H193" s="18" t="s">
        <v>246</v>
      </c>
      <c r="I193" s="36">
        <v>4</v>
      </c>
      <c r="J193" s="19">
        <v>252.72</v>
      </c>
      <c r="K193" s="9">
        <f>J193*$S$3</f>
        <v>331.06319999999999</v>
      </c>
      <c r="L193" s="19">
        <v>16.8</v>
      </c>
      <c r="M193" s="9">
        <f t="shared" si="10"/>
        <v>386.68</v>
      </c>
      <c r="N193" s="899">
        <v>0</v>
      </c>
      <c r="O193" s="900">
        <f t="shared" si="13"/>
        <v>4</v>
      </c>
      <c r="P193" s="901">
        <f t="shared" si="11"/>
        <v>1546.72</v>
      </c>
      <c r="Q193" s="873"/>
      <c r="R193" s="873" t="s">
        <v>76</v>
      </c>
      <c r="S193" s="845"/>
      <c r="T193" s="853"/>
    </row>
    <row r="194" spans="1:20" s="610" customFormat="1">
      <c r="A194" s="915"/>
      <c r="B194" s="919"/>
      <c r="C194" s="913"/>
      <c r="D194" s="55" t="s">
        <v>390</v>
      </c>
      <c r="E194" s="820" t="s">
        <v>753</v>
      </c>
      <c r="F194" s="87"/>
      <c r="G194" s="114" t="s">
        <v>754</v>
      </c>
      <c r="H194" s="18" t="s">
        <v>246</v>
      </c>
      <c r="I194" s="36">
        <v>2</v>
      </c>
      <c r="J194" s="19">
        <v>320.79000000000002</v>
      </c>
      <c r="K194" s="9">
        <f>J194*$S$3</f>
        <v>420.23490000000004</v>
      </c>
      <c r="L194" s="19">
        <v>16.8</v>
      </c>
      <c r="M194" s="9">
        <f t="shared" si="10"/>
        <v>490.83</v>
      </c>
      <c r="N194" s="899">
        <v>0</v>
      </c>
      <c r="O194" s="900">
        <f t="shared" si="13"/>
        <v>2</v>
      </c>
      <c r="P194" s="901">
        <f t="shared" si="11"/>
        <v>981.66</v>
      </c>
      <c r="Q194" s="873"/>
      <c r="R194" s="873" t="s">
        <v>76</v>
      </c>
      <c r="S194" s="845"/>
      <c r="T194" s="853"/>
    </row>
    <row r="195" spans="1:20" s="318" customFormat="1">
      <c r="A195" s="915"/>
      <c r="B195" s="919"/>
      <c r="C195" s="913"/>
      <c r="D195" s="55" t="s">
        <v>17</v>
      </c>
      <c r="E195" s="56"/>
      <c r="F195" s="65"/>
      <c r="G195" s="61" t="s">
        <v>679</v>
      </c>
      <c r="H195" s="18"/>
      <c r="I195" s="36"/>
      <c r="J195" s="19"/>
      <c r="K195" s="19"/>
      <c r="L195" s="19"/>
      <c r="M195" s="9"/>
      <c r="N195" s="899"/>
      <c r="O195" s="900"/>
      <c r="P195" s="901"/>
      <c r="Q195" s="874"/>
      <c r="R195" s="874" t="s">
        <v>76</v>
      </c>
      <c r="S195" s="845"/>
      <c r="T195" s="854"/>
    </row>
    <row r="196" spans="1:20" s="885" customFormat="1">
      <c r="A196" s="915"/>
      <c r="B196" s="919"/>
      <c r="C196" s="913"/>
      <c r="D196" s="55" t="s">
        <v>195</v>
      </c>
      <c r="E196" s="820" t="s">
        <v>751</v>
      </c>
      <c r="F196" s="87"/>
      <c r="G196" s="114" t="s">
        <v>752</v>
      </c>
      <c r="H196" s="18" t="s">
        <v>246</v>
      </c>
      <c r="I196" s="36">
        <v>2</v>
      </c>
      <c r="J196" s="19">
        <v>639.58000000000004</v>
      </c>
      <c r="K196" s="9">
        <v>900</v>
      </c>
      <c r="L196" s="19">
        <v>16.8</v>
      </c>
      <c r="M196" s="9">
        <f t="shared" si="10"/>
        <v>1051.2</v>
      </c>
      <c r="N196" s="899">
        <v>0</v>
      </c>
      <c r="O196" s="900">
        <f t="shared" si="13"/>
        <v>2</v>
      </c>
      <c r="P196" s="901">
        <f t="shared" si="11"/>
        <v>2102.4</v>
      </c>
      <c r="Q196" s="882"/>
      <c r="R196" s="882" t="s">
        <v>2446</v>
      </c>
      <c r="S196" s="883"/>
      <c r="T196" s="884"/>
    </row>
    <row r="197" spans="1:20" s="318" customFormat="1">
      <c r="A197" s="915"/>
      <c r="B197" s="919"/>
      <c r="C197" s="913"/>
      <c r="D197" s="55" t="s">
        <v>16</v>
      </c>
      <c r="E197" s="56"/>
      <c r="F197" s="65"/>
      <c r="G197" s="61" t="s">
        <v>454</v>
      </c>
      <c r="H197" s="18"/>
      <c r="I197" s="36"/>
      <c r="J197" s="19"/>
      <c r="K197" s="19"/>
      <c r="L197" s="19"/>
      <c r="M197" s="9"/>
      <c r="N197" s="899"/>
      <c r="O197" s="900"/>
      <c r="P197" s="901"/>
      <c r="Q197" s="874"/>
      <c r="R197" s="874" t="s">
        <v>76</v>
      </c>
      <c r="S197" s="845"/>
      <c r="T197" s="854"/>
    </row>
    <row r="198" spans="1:20" s="885" customFormat="1">
      <c r="A198" s="915"/>
      <c r="B198" s="919"/>
      <c r="C198" s="913"/>
      <c r="D198" s="55" t="s">
        <v>270</v>
      </c>
      <c r="E198" s="820" t="s">
        <v>749</v>
      </c>
      <c r="F198" s="87"/>
      <c r="G198" s="63" t="s">
        <v>750</v>
      </c>
      <c r="H198" s="18" t="s">
        <v>326</v>
      </c>
      <c r="I198" s="51">
        <v>1</v>
      </c>
      <c r="J198" s="20">
        <v>12896</v>
      </c>
      <c r="K198" s="20">
        <v>13100</v>
      </c>
      <c r="L198" s="19">
        <v>16.8</v>
      </c>
      <c r="M198" s="9">
        <f t="shared" si="10"/>
        <v>15300.8</v>
      </c>
      <c r="N198" s="899">
        <v>0</v>
      </c>
      <c r="O198" s="900">
        <f t="shared" si="13"/>
        <v>1</v>
      </c>
      <c r="P198" s="901">
        <f t="shared" si="11"/>
        <v>15300.8</v>
      </c>
      <c r="Q198" s="882">
        <v>233</v>
      </c>
      <c r="R198" s="882" t="s">
        <v>2417</v>
      </c>
      <c r="S198" s="883"/>
      <c r="T198" s="884"/>
    </row>
    <row r="199" spans="1:20" s="885" customFormat="1">
      <c r="A199" s="915"/>
      <c r="B199" s="919"/>
      <c r="C199" s="913"/>
      <c r="D199" s="55" t="s">
        <v>369</v>
      </c>
      <c r="E199" s="820" t="s">
        <v>747</v>
      </c>
      <c r="F199" s="87"/>
      <c r="G199" s="63" t="s">
        <v>748</v>
      </c>
      <c r="H199" s="18" t="s">
        <v>326</v>
      </c>
      <c r="I199" s="51">
        <v>1</v>
      </c>
      <c r="J199" s="20">
        <v>4800</v>
      </c>
      <c r="K199" s="20">
        <v>5500</v>
      </c>
      <c r="L199" s="19">
        <v>16.8</v>
      </c>
      <c r="M199" s="9">
        <f t="shared" si="10"/>
        <v>6424</v>
      </c>
      <c r="N199" s="899">
        <v>0</v>
      </c>
      <c r="O199" s="900">
        <f t="shared" si="13"/>
        <v>1</v>
      </c>
      <c r="P199" s="901">
        <f t="shared" si="11"/>
        <v>6424</v>
      </c>
      <c r="Q199" s="882">
        <v>233</v>
      </c>
      <c r="R199" s="882" t="s">
        <v>2417</v>
      </c>
      <c r="S199" s="883"/>
      <c r="T199" s="884"/>
    </row>
    <row r="200" spans="1:20" s="318" customFormat="1">
      <c r="A200" s="915"/>
      <c r="B200" s="919"/>
      <c r="C200" s="913"/>
      <c r="D200" s="55" t="s">
        <v>15</v>
      </c>
      <c r="E200" s="56"/>
      <c r="F200" s="65"/>
      <c r="G200" s="61" t="s">
        <v>746</v>
      </c>
      <c r="H200" s="18"/>
      <c r="I200" s="36"/>
      <c r="J200" s="19"/>
      <c r="K200" s="19"/>
      <c r="L200" s="19"/>
      <c r="M200" s="9"/>
      <c r="N200" s="899"/>
      <c r="O200" s="900"/>
      <c r="P200" s="901"/>
      <c r="Q200" s="874"/>
      <c r="R200" s="874" t="s">
        <v>76</v>
      </c>
      <c r="S200" s="845"/>
      <c r="T200" s="854"/>
    </row>
    <row r="201" spans="1:20" s="837" customFormat="1">
      <c r="A201" s="915"/>
      <c r="B201" s="919"/>
      <c r="C201" s="913"/>
      <c r="D201" s="55" t="s">
        <v>249</v>
      </c>
      <c r="E201" s="820" t="s">
        <v>744</v>
      </c>
      <c r="F201" s="87"/>
      <c r="G201" s="114" t="s">
        <v>745</v>
      </c>
      <c r="H201" s="18" t="s">
        <v>246</v>
      </c>
      <c r="I201" s="36">
        <v>16</v>
      </c>
      <c r="J201" s="19">
        <v>1114.6199999999999</v>
      </c>
      <c r="K201" s="9">
        <f>J201*$S$3</f>
        <v>1460.1522</v>
      </c>
      <c r="L201" s="19">
        <v>16.8</v>
      </c>
      <c r="M201" s="9">
        <f t="shared" si="10"/>
        <v>1705.46</v>
      </c>
      <c r="N201" s="899">
        <v>0</v>
      </c>
      <c r="O201" s="900">
        <f t="shared" si="13"/>
        <v>16</v>
      </c>
      <c r="P201" s="901">
        <f t="shared" si="11"/>
        <v>27287.360000000001</v>
      </c>
      <c r="Q201" s="877" t="s">
        <v>2421</v>
      </c>
      <c r="R201" s="877" t="s">
        <v>2422</v>
      </c>
      <c r="S201" s="845"/>
      <c r="T201" s="858"/>
    </row>
    <row r="202" spans="1:20">
      <c r="D202" s="213"/>
      <c r="E202" s="820"/>
      <c r="F202" s="61"/>
      <c r="G202" s="114"/>
      <c r="H202" s="18"/>
      <c r="I202" s="36"/>
      <c r="J202" s="19"/>
      <c r="K202" s="19"/>
      <c r="L202" s="19"/>
      <c r="M202" s="9"/>
      <c r="N202" s="926"/>
      <c r="O202" s="900"/>
      <c r="P202" s="901"/>
      <c r="Q202" s="874"/>
      <c r="R202" s="874"/>
      <c r="S202" s="841"/>
      <c r="T202" s="854"/>
    </row>
    <row r="203" spans="1:20">
      <c r="D203" s="213"/>
      <c r="E203" s="820"/>
      <c r="F203" s="61"/>
      <c r="G203" s="42"/>
      <c r="H203" s="18"/>
      <c r="I203" s="36"/>
      <c r="J203" s="19"/>
      <c r="K203" s="19"/>
      <c r="L203" s="19"/>
      <c r="M203" s="9"/>
      <c r="N203" s="936"/>
      <c r="O203" s="900"/>
      <c r="P203" s="901"/>
      <c r="Q203" s="874"/>
      <c r="R203" s="874"/>
      <c r="S203" s="841"/>
      <c r="T203" s="854"/>
    </row>
    <row r="204" spans="1:20">
      <c r="D204" s="213"/>
      <c r="E204" s="820"/>
      <c r="F204" s="61"/>
      <c r="G204" s="114"/>
      <c r="H204" s="18"/>
      <c r="I204" s="36"/>
      <c r="J204" s="19"/>
      <c r="K204" s="19"/>
      <c r="L204" s="19"/>
      <c r="M204" s="9"/>
      <c r="N204" s="926"/>
      <c r="O204" s="900"/>
      <c r="P204" s="901"/>
      <c r="Q204" s="874"/>
      <c r="R204" s="874"/>
      <c r="S204" s="841"/>
      <c r="T204" s="854"/>
    </row>
    <row r="205" spans="1:20">
      <c r="D205" s="59">
        <v>2</v>
      </c>
      <c r="E205" s="56"/>
      <c r="F205" s="168"/>
      <c r="G205" s="168" t="s">
        <v>743</v>
      </c>
      <c r="H205" s="196"/>
      <c r="I205" s="211"/>
      <c r="J205" s="212"/>
      <c r="K205" s="212"/>
      <c r="L205" s="212"/>
      <c r="M205" s="9"/>
      <c r="N205" s="926"/>
      <c r="O205" s="900"/>
      <c r="P205" s="901"/>
      <c r="Q205" s="874"/>
      <c r="R205" s="874"/>
      <c r="S205" s="841"/>
      <c r="T205" s="854"/>
    </row>
    <row r="206" spans="1:20">
      <c r="D206" s="55" t="s">
        <v>9</v>
      </c>
      <c r="E206" s="56"/>
      <c r="F206" s="168"/>
      <c r="G206" s="61" t="s">
        <v>340</v>
      </c>
      <c r="H206" s="18"/>
      <c r="I206" s="208"/>
      <c r="J206" s="209"/>
      <c r="K206" s="209"/>
      <c r="L206" s="209"/>
      <c r="M206" s="9"/>
      <c r="N206" s="926"/>
      <c r="O206" s="900"/>
      <c r="P206" s="901"/>
      <c r="Q206" s="874"/>
      <c r="R206" s="874"/>
      <c r="S206" s="841"/>
      <c r="T206" s="854"/>
    </row>
    <row r="207" spans="1:20" s="610" customFormat="1">
      <c r="A207" s="915"/>
      <c r="B207" s="919" t="s">
        <v>2457</v>
      </c>
      <c r="C207" s="913"/>
      <c r="D207" s="55" t="s">
        <v>348</v>
      </c>
      <c r="E207" s="309" t="s">
        <v>741</v>
      </c>
      <c r="F207" s="214"/>
      <c r="G207" s="114" t="s">
        <v>742</v>
      </c>
      <c r="H207" s="43" t="s">
        <v>246</v>
      </c>
      <c r="I207" s="208">
        <v>1</v>
      </c>
      <c r="J207" s="209">
        <v>1459.11</v>
      </c>
      <c r="K207" s="9">
        <f>J207*$S$3</f>
        <v>1911.4340999999999</v>
      </c>
      <c r="L207" s="209">
        <v>16.8</v>
      </c>
      <c r="M207" s="9">
        <f t="shared" si="10"/>
        <v>2232.56</v>
      </c>
      <c r="N207" s="899">
        <v>0</v>
      </c>
      <c r="O207" s="900">
        <f t="shared" si="13"/>
        <v>1</v>
      </c>
      <c r="P207" s="901">
        <f t="shared" si="11"/>
        <v>2232.56</v>
      </c>
      <c r="Q207" s="873"/>
      <c r="R207" s="873"/>
      <c r="S207" s="840"/>
      <c r="T207" s="853"/>
    </row>
    <row r="208" spans="1:20" s="610" customFormat="1">
      <c r="A208" s="915"/>
      <c r="B208" s="919" t="s">
        <v>2457</v>
      </c>
      <c r="C208" s="913"/>
      <c r="D208" s="55" t="s">
        <v>740</v>
      </c>
      <c r="E208" s="938" t="s">
        <v>1874</v>
      </c>
      <c r="F208" s="939"/>
      <c r="G208" s="114" t="s">
        <v>739</v>
      </c>
      <c r="H208" s="43" t="s">
        <v>246</v>
      </c>
      <c r="I208" s="208">
        <v>1</v>
      </c>
      <c r="J208" s="209">
        <v>1321.8</v>
      </c>
      <c r="K208" s="9">
        <f>J208*$S$3</f>
        <v>1731.558</v>
      </c>
      <c r="L208" s="209">
        <v>16.8</v>
      </c>
      <c r="M208" s="9">
        <f t="shared" si="10"/>
        <v>2022.46</v>
      </c>
      <c r="N208" s="899">
        <v>0</v>
      </c>
      <c r="O208" s="900">
        <f t="shared" si="13"/>
        <v>1</v>
      </c>
      <c r="P208" s="901">
        <f t="shared" si="11"/>
        <v>2022.46</v>
      </c>
      <c r="Q208" s="873"/>
      <c r="R208" s="873"/>
      <c r="S208" s="840"/>
      <c r="T208" s="853"/>
    </row>
    <row r="209" spans="1:20" s="610" customFormat="1">
      <c r="A209" s="915"/>
      <c r="B209" s="919" t="s">
        <v>2457</v>
      </c>
      <c r="C209" s="913"/>
      <c r="D209" s="55" t="s">
        <v>738</v>
      </c>
      <c r="E209" s="309" t="s">
        <v>736</v>
      </c>
      <c r="F209" s="214"/>
      <c r="G209" s="114" t="s">
        <v>737</v>
      </c>
      <c r="H209" s="43" t="s">
        <v>246</v>
      </c>
      <c r="I209" s="208">
        <v>2</v>
      </c>
      <c r="J209" s="209">
        <v>1238.2</v>
      </c>
      <c r="K209" s="9">
        <f>J209*$S$3</f>
        <v>1622.0420000000001</v>
      </c>
      <c r="L209" s="209">
        <v>16.8</v>
      </c>
      <c r="M209" s="9">
        <f t="shared" ref="M209:M272" si="14">ROUND(K209*(L209/100+1),2)</f>
        <v>1894.55</v>
      </c>
      <c r="N209" s="899">
        <v>0</v>
      </c>
      <c r="O209" s="900">
        <f t="shared" si="13"/>
        <v>2</v>
      </c>
      <c r="P209" s="901">
        <f t="shared" ref="P209:P272" si="15">ROUND(O209*M209,2)</f>
        <v>3789.1</v>
      </c>
      <c r="Q209" s="873"/>
      <c r="R209" s="873"/>
      <c r="S209" s="840"/>
      <c r="T209" s="853"/>
    </row>
    <row r="210" spans="1:20" s="610" customFormat="1">
      <c r="A210" s="915"/>
      <c r="B210" s="919" t="s">
        <v>2457</v>
      </c>
      <c r="C210" s="913"/>
      <c r="D210" s="55" t="s">
        <v>735</v>
      </c>
      <c r="E210" s="309" t="s">
        <v>733</v>
      </c>
      <c r="F210" s="214"/>
      <c r="G210" s="114" t="s">
        <v>734</v>
      </c>
      <c r="H210" s="43" t="s">
        <v>246</v>
      </c>
      <c r="I210" s="208">
        <v>2</v>
      </c>
      <c r="J210" s="209">
        <v>945.99</v>
      </c>
      <c r="K210" s="9">
        <f>J210*$S$3</f>
        <v>1239.2469000000001</v>
      </c>
      <c r="L210" s="209">
        <v>16.8</v>
      </c>
      <c r="M210" s="9">
        <f t="shared" si="14"/>
        <v>1447.44</v>
      </c>
      <c r="N210" s="899">
        <v>0</v>
      </c>
      <c r="O210" s="900">
        <f t="shared" si="13"/>
        <v>2</v>
      </c>
      <c r="P210" s="901">
        <f t="shared" si="15"/>
        <v>2894.88</v>
      </c>
      <c r="Q210" s="873"/>
      <c r="R210" s="873"/>
      <c r="S210" s="840"/>
      <c r="T210" s="853"/>
    </row>
    <row r="211" spans="1:20" s="610" customFormat="1">
      <c r="A211" s="915"/>
      <c r="B211" s="919" t="s">
        <v>2457</v>
      </c>
      <c r="C211" s="913"/>
      <c r="D211" s="55" t="s">
        <v>732</v>
      </c>
      <c r="E211" s="309" t="s">
        <v>730</v>
      </c>
      <c r="F211" s="214"/>
      <c r="G211" s="114" t="s">
        <v>731</v>
      </c>
      <c r="H211" s="43" t="s">
        <v>246</v>
      </c>
      <c r="I211" s="208">
        <v>6</v>
      </c>
      <c r="J211" s="209">
        <v>360</v>
      </c>
      <c r="K211" s="9">
        <f>J211*$S$3</f>
        <v>471.6</v>
      </c>
      <c r="L211" s="209">
        <v>16.8</v>
      </c>
      <c r="M211" s="9">
        <f t="shared" si="14"/>
        <v>550.83000000000004</v>
      </c>
      <c r="N211" s="899">
        <v>0</v>
      </c>
      <c r="O211" s="900">
        <f t="shared" si="13"/>
        <v>6</v>
      </c>
      <c r="P211" s="901">
        <f t="shared" si="15"/>
        <v>3304.98</v>
      </c>
      <c r="Q211" s="873"/>
      <c r="R211" s="873"/>
      <c r="S211" s="840"/>
      <c r="T211" s="853"/>
    </row>
    <row r="212" spans="1:20" s="318" customFormat="1">
      <c r="A212" s="915"/>
      <c r="B212" s="919"/>
      <c r="C212" s="913"/>
      <c r="D212" s="55" t="s">
        <v>8</v>
      </c>
      <c r="E212" s="56"/>
      <c r="F212" s="65"/>
      <c r="G212" s="61" t="s">
        <v>335</v>
      </c>
      <c r="H212" s="43"/>
      <c r="I212" s="208"/>
      <c r="J212" s="209"/>
      <c r="K212" s="209"/>
      <c r="L212" s="209"/>
      <c r="M212" s="9"/>
      <c r="N212" s="899"/>
      <c r="O212" s="900"/>
      <c r="P212" s="901"/>
      <c r="Q212" s="874"/>
      <c r="R212" s="874"/>
      <c r="S212" s="841"/>
      <c r="T212" s="854"/>
    </row>
    <row r="213" spans="1:20" s="610" customFormat="1">
      <c r="A213" s="915"/>
      <c r="B213" s="919" t="s">
        <v>2457</v>
      </c>
      <c r="C213" s="913"/>
      <c r="D213" s="55" t="s">
        <v>317</v>
      </c>
      <c r="E213" s="309" t="s">
        <v>728</v>
      </c>
      <c r="F213" s="214"/>
      <c r="G213" s="61" t="s">
        <v>729</v>
      </c>
      <c r="H213" s="43" t="s">
        <v>246</v>
      </c>
      <c r="I213" s="208">
        <v>6</v>
      </c>
      <c r="J213" s="209">
        <v>219.92</v>
      </c>
      <c r="K213" s="9">
        <f t="shared" ref="K213:K218" si="16">J213*$S$3</f>
        <v>288.09519999999998</v>
      </c>
      <c r="L213" s="209">
        <v>16.8</v>
      </c>
      <c r="M213" s="9">
        <f t="shared" si="14"/>
        <v>336.5</v>
      </c>
      <c r="N213" s="899">
        <v>0</v>
      </c>
      <c r="O213" s="900">
        <f t="shared" si="13"/>
        <v>6</v>
      </c>
      <c r="P213" s="901">
        <f t="shared" si="15"/>
        <v>2019</v>
      </c>
      <c r="Q213" s="873"/>
      <c r="R213" s="873"/>
      <c r="S213" s="840"/>
      <c r="T213" s="853"/>
    </row>
    <row r="214" spans="1:20" s="610" customFormat="1">
      <c r="A214" s="915"/>
      <c r="B214" s="919" t="s">
        <v>2457</v>
      </c>
      <c r="C214" s="913"/>
      <c r="D214" s="55" t="s">
        <v>316</v>
      </c>
      <c r="E214" s="309" t="s">
        <v>726</v>
      </c>
      <c r="F214" s="214"/>
      <c r="G214" s="114" t="s">
        <v>727</v>
      </c>
      <c r="H214" s="43" t="s">
        <v>246</v>
      </c>
      <c r="I214" s="208">
        <v>1</v>
      </c>
      <c r="J214" s="209">
        <v>149.16</v>
      </c>
      <c r="K214" s="9">
        <f t="shared" si="16"/>
        <v>195.39959999999999</v>
      </c>
      <c r="L214" s="209">
        <v>16.8</v>
      </c>
      <c r="M214" s="9">
        <f t="shared" si="14"/>
        <v>228.23</v>
      </c>
      <c r="N214" s="899">
        <v>0</v>
      </c>
      <c r="O214" s="900">
        <f t="shared" si="13"/>
        <v>1</v>
      </c>
      <c r="P214" s="901">
        <f t="shared" si="15"/>
        <v>228.23</v>
      </c>
      <c r="Q214" s="873"/>
      <c r="R214" s="873"/>
      <c r="S214" s="840"/>
      <c r="T214" s="853"/>
    </row>
    <row r="215" spans="1:20" s="610" customFormat="1">
      <c r="A215" s="915"/>
      <c r="B215" s="919" t="s">
        <v>2457</v>
      </c>
      <c r="C215" s="913"/>
      <c r="D215" s="55" t="s">
        <v>315</v>
      </c>
      <c r="E215" s="309" t="s">
        <v>724</v>
      </c>
      <c r="F215" s="214"/>
      <c r="G215" s="114" t="s">
        <v>725</v>
      </c>
      <c r="H215" s="43" t="s">
        <v>246</v>
      </c>
      <c r="I215" s="208">
        <v>4</v>
      </c>
      <c r="J215" s="209">
        <v>147.74</v>
      </c>
      <c r="K215" s="9">
        <f t="shared" si="16"/>
        <v>193.53940000000003</v>
      </c>
      <c r="L215" s="209">
        <v>16.8</v>
      </c>
      <c r="M215" s="9">
        <f t="shared" si="14"/>
        <v>226.05</v>
      </c>
      <c r="N215" s="899">
        <v>0</v>
      </c>
      <c r="O215" s="900">
        <f t="shared" si="13"/>
        <v>4</v>
      </c>
      <c r="P215" s="901">
        <f t="shared" si="15"/>
        <v>904.2</v>
      </c>
      <c r="Q215" s="873"/>
      <c r="R215" s="873"/>
      <c r="S215" s="840"/>
      <c r="T215" s="853"/>
    </row>
    <row r="216" spans="1:20" s="610" customFormat="1">
      <c r="A216" s="915"/>
      <c r="B216" s="919" t="s">
        <v>2457</v>
      </c>
      <c r="C216" s="913"/>
      <c r="D216" s="55" t="s">
        <v>723</v>
      </c>
      <c r="E216" s="309" t="s">
        <v>721</v>
      </c>
      <c r="F216" s="214"/>
      <c r="G216" s="114" t="s">
        <v>722</v>
      </c>
      <c r="H216" s="43" t="s">
        <v>246</v>
      </c>
      <c r="I216" s="208">
        <v>6</v>
      </c>
      <c r="J216" s="209">
        <v>861.51</v>
      </c>
      <c r="K216" s="9">
        <f t="shared" si="16"/>
        <v>1128.5780999999999</v>
      </c>
      <c r="L216" s="209">
        <v>16.8</v>
      </c>
      <c r="M216" s="9">
        <f t="shared" si="14"/>
        <v>1318.18</v>
      </c>
      <c r="N216" s="899">
        <v>0</v>
      </c>
      <c r="O216" s="900">
        <f t="shared" si="13"/>
        <v>6</v>
      </c>
      <c r="P216" s="901">
        <f t="shared" si="15"/>
        <v>7909.08</v>
      </c>
      <c r="Q216" s="873"/>
      <c r="R216" s="873"/>
      <c r="S216" s="840"/>
      <c r="T216" s="853"/>
    </row>
    <row r="217" spans="1:20" s="610" customFormat="1">
      <c r="A217" s="915"/>
      <c r="B217" s="919" t="s">
        <v>2457</v>
      </c>
      <c r="C217" s="913"/>
      <c r="D217" s="55" t="s">
        <v>720</v>
      </c>
      <c r="E217" s="309" t="s">
        <v>718</v>
      </c>
      <c r="F217" s="214"/>
      <c r="G217" s="114" t="s">
        <v>719</v>
      </c>
      <c r="H217" s="43" t="s">
        <v>246</v>
      </c>
      <c r="I217" s="208">
        <v>8</v>
      </c>
      <c r="J217" s="209">
        <v>1166.02</v>
      </c>
      <c r="K217" s="9">
        <f t="shared" si="16"/>
        <v>1527.4862000000001</v>
      </c>
      <c r="L217" s="209">
        <v>16.8</v>
      </c>
      <c r="M217" s="9">
        <f t="shared" si="14"/>
        <v>1784.1</v>
      </c>
      <c r="N217" s="899">
        <v>0</v>
      </c>
      <c r="O217" s="900">
        <f t="shared" si="13"/>
        <v>8</v>
      </c>
      <c r="P217" s="901">
        <f t="shared" si="15"/>
        <v>14272.8</v>
      </c>
      <c r="Q217" s="873"/>
      <c r="R217" s="873"/>
      <c r="S217" s="840"/>
      <c r="T217" s="853"/>
    </row>
    <row r="218" spans="1:20" s="610" customFormat="1">
      <c r="A218" s="915"/>
      <c r="B218" s="919" t="s">
        <v>2457</v>
      </c>
      <c r="C218" s="913"/>
      <c r="D218" s="55" t="s">
        <v>717</v>
      </c>
      <c r="E218" s="938" t="s">
        <v>1875</v>
      </c>
      <c r="F218" s="939"/>
      <c r="G218" s="206" t="s">
        <v>716</v>
      </c>
      <c r="H218" s="18" t="s">
        <v>246</v>
      </c>
      <c r="I218" s="36">
        <v>32</v>
      </c>
      <c r="J218" s="19">
        <v>180</v>
      </c>
      <c r="K218" s="9">
        <f t="shared" si="16"/>
        <v>235.8</v>
      </c>
      <c r="L218" s="19">
        <v>16.8</v>
      </c>
      <c r="M218" s="9">
        <f t="shared" si="14"/>
        <v>275.41000000000003</v>
      </c>
      <c r="N218" s="899">
        <v>0</v>
      </c>
      <c r="O218" s="900">
        <f t="shared" si="13"/>
        <v>32</v>
      </c>
      <c r="P218" s="901">
        <f t="shared" si="15"/>
        <v>8813.1200000000008</v>
      </c>
      <c r="Q218" s="873"/>
      <c r="R218" s="873"/>
      <c r="S218" s="840"/>
      <c r="T218" s="853"/>
    </row>
    <row r="219" spans="1:20" s="318" customFormat="1">
      <c r="A219" s="915"/>
      <c r="B219" s="919"/>
      <c r="C219" s="913"/>
      <c r="D219" s="55" t="s">
        <v>7</v>
      </c>
      <c r="E219" s="56"/>
      <c r="F219" s="65"/>
      <c r="G219" s="61" t="s">
        <v>549</v>
      </c>
      <c r="H219" s="43"/>
      <c r="I219" s="208"/>
      <c r="J219" s="209"/>
      <c r="K219" s="209"/>
      <c r="L219" s="209"/>
      <c r="M219" s="9"/>
      <c r="N219" s="899"/>
      <c r="O219" s="900"/>
      <c r="P219" s="901"/>
      <c r="Q219" s="874"/>
      <c r="R219" s="874"/>
      <c r="S219" s="841"/>
      <c r="T219" s="854"/>
    </row>
    <row r="220" spans="1:20" s="610" customFormat="1">
      <c r="A220" s="915" t="s">
        <v>2456</v>
      </c>
      <c r="B220" s="919"/>
      <c r="C220" s="913"/>
      <c r="D220" s="55" t="s">
        <v>314</v>
      </c>
      <c r="E220" s="309" t="s">
        <v>714</v>
      </c>
      <c r="F220" s="214"/>
      <c r="G220" s="61" t="s">
        <v>715</v>
      </c>
      <c r="H220" s="43" t="s">
        <v>246</v>
      </c>
      <c r="I220" s="208">
        <v>4</v>
      </c>
      <c r="J220" s="209">
        <v>652</v>
      </c>
      <c r="K220" s="9">
        <f>J220*$S$3</f>
        <v>854.12</v>
      </c>
      <c r="L220" s="209">
        <v>16.8</v>
      </c>
      <c r="M220" s="9">
        <f t="shared" si="14"/>
        <v>997.61</v>
      </c>
      <c r="N220" s="899">
        <v>0</v>
      </c>
      <c r="O220" s="900">
        <f t="shared" si="13"/>
        <v>4</v>
      </c>
      <c r="P220" s="901">
        <f t="shared" si="15"/>
        <v>3990.44</v>
      </c>
      <c r="Q220" s="873"/>
      <c r="R220" s="873"/>
      <c r="S220" s="840"/>
      <c r="T220" s="853"/>
    </row>
    <row r="221" spans="1:20" s="610" customFormat="1">
      <c r="A221" s="915" t="s">
        <v>2456</v>
      </c>
      <c r="B221" s="919"/>
      <c r="C221" s="913"/>
      <c r="D221" s="55" t="s">
        <v>347</v>
      </c>
      <c r="E221" s="309" t="s">
        <v>712</v>
      </c>
      <c r="F221" s="214"/>
      <c r="G221" s="61" t="s">
        <v>713</v>
      </c>
      <c r="H221" s="43" t="s">
        <v>246</v>
      </c>
      <c r="I221" s="208">
        <v>6</v>
      </c>
      <c r="J221" s="209">
        <v>2288</v>
      </c>
      <c r="K221" s="9">
        <f>J221*$S$3</f>
        <v>2997.28</v>
      </c>
      <c r="L221" s="209">
        <v>16.8</v>
      </c>
      <c r="M221" s="9">
        <f t="shared" si="14"/>
        <v>3500.82</v>
      </c>
      <c r="N221" s="899">
        <v>0</v>
      </c>
      <c r="O221" s="900">
        <f t="shared" si="13"/>
        <v>6</v>
      </c>
      <c r="P221" s="901">
        <f t="shared" si="15"/>
        <v>21004.92</v>
      </c>
      <c r="Q221" s="873"/>
      <c r="R221" s="873"/>
      <c r="S221" s="840"/>
      <c r="T221" s="853"/>
    </row>
    <row r="222" spans="1:20" s="318" customFormat="1">
      <c r="A222" s="915"/>
      <c r="B222" s="919"/>
      <c r="C222" s="913"/>
      <c r="D222" s="55"/>
      <c r="E222" s="309"/>
      <c r="F222" s="214"/>
      <c r="G222" s="61"/>
      <c r="H222" s="43"/>
      <c r="I222" s="208"/>
      <c r="J222" s="209"/>
      <c r="K222" s="209"/>
      <c r="L222" s="209"/>
      <c r="M222" s="9"/>
      <c r="N222" s="899"/>
      <c r="O222" s="900"/>
      <c r="P222" s="901"/>
      <c r="Q222" s="874"/>
      <c r="R222" s="874"/>
      <c r="S222" s="841"/>
      <c r="T222" s="854"/>
    </row>
    <row r="223" spans="1:20">
      <c r="D223" s="55"/>
      <c r="E223" s="309"/>
      <c r="F223" s="214"/>
      <c r="G223" s="61"/>
      <c r="H223" s="43"/>
      <c r="I223" s="208"/>
      <c r="J223" s="209"/>
      <c r="K223" s="209"/>
      <c r="L223" s="209"/>
      <c r="M223" s="9"/>
      <c r="N223" s="899"/>
      <c r="O223" s="900"/>
      <c r="P223" s="901"/>
      <c r="Q223" s="874"/>
      <c r="R223" s="874"/>
      <c r="S223" s="841"/>
      <c r="T223" s="854"/>
    </row>
    <row r="224" spans="1:20">
      <c r="D224" s="55" t="s">
        <v>6</v>
      </c>
      <c r="E224" s="56"/>
      <c r="F224" s="65"/>
      <c r="G224" s="61" t="s">
        <v>522</v>
      </c>
      <c r="H224" s="43"/>
      <c r="I224" s="208"/>
      <c r="J224" s="209"/>
      <c r="K224" s="209"/>
      <c r="L224" s="209"/>
      <c r="M224" s="9"/>
      <c r="N224" s="899"/>
      <c r="O224" s="900"/>
      <c r="P224" s="901"/>
      <c r="Q224" s="874"/>
      <c r="R224" s="874"/>
      <c r="S224" s="841"/>
      <c r="T224" s="854"/>
    </row>
    <row r="225" spans="1:20" s="610" customFormat="1">
      <c r="A225" s="915" t="s">
        <v>2456</v>
      </c>
      <c r="B225" s="919"/>
      <c r="C225" s="913"/>
      <c r="D225" s="55" t="s">
        <v>311</v>
      </c>
      <c r="E225" s="309" t="s">
        <v>517</v>
      </c>
      <c r="F225" s="214"/>
      <c r="G225" s="114" t="s">
        <v>711</v>
      </c>
      <c r="H225" s="43" t="s">
        <v>246</v>
      </c>
      <c r="I225" s="208">
        <v>4</v>
      </c>
      <c r="J225" s="209">
        <v>77.34</v>
      </c>
      <c r="K225" s="9">
        <f>J225*$S$3</f>
        <v>101.31540000000001</v>
      </c>
      <c r="L225" s="209">
        <v>16.8</v>
      </c>
      <c r="M225" s="9">
        <f t="shared" si="14"/>
        <v>118.34</v>
      </c>
      <c r="N225" s="899">
        <v>0</v>
      </c>
      <c r="O225" s="900">
        <f t="shared" si="13"/>
        <v>4</v>
      </c>
      <c r="P225" s="901">
        <f t="shared" si="15"/>
        <v>473.36</v>
      </c>
      <c r="Q225" s="873"/>
      <c r="R225" s="873"/>
      <c r="S225" s="840"/>
      <c r="T225" s="853"/>
    </row>
    <row r="226" spans="1:20" s="610" customFormat="1">
      <c r="A226" s="915" t="s">
        <v>2456</v>
      </c>
      <c r="B226" s="919"/>
      <c r="C226" s="913"/>
      <c r="D226" s="55" t="s">
        <v>710</v>
      </c>
      <c r="E226" s="309" t="s">
        <v>490</v>
      </c>
      <c r="F226" s="214"/>
      <c r="G226" s="114" t="s">
        <v>709</v>
      </c>
      <c r="H226" s="43" t="s">
        <v>246</v>
      </c>
      <c r="I226" s="208">
        <v>6</v>
      </c>
      <c r="J226" s="209">
        <v>648.9</v>
      </c>
      <c r="K226" s="9">
        <f>J226*$S$3</f>
        <v>850.05899999999997</v>
      </c>
      <c r="L226" s="209">
        <v>16.8</v>
      </c>
      <c r="M226" s="9">
        <f t="shared" si="14"/>
        <v>992.87</v>
      </c>
      <c r="N226" s="899">
        <v>0</v>
      </c>
      <c r="O226" s="900">
        <f t="shared" si="13"/>
        <v>6</v>
      </c>
      <c r="P226" s="901">
        <f t="shared" si="15"/>
        <v>5957.22</v>
      </c>
      <c r="Q226" s="873"/>
      <c r="R226" s="873"/>
      <c r="S226" s="840"/>
      <c r="T226" s="853"/>
    </row>
    <row r="227" spans="1:20" s="318" customFormat="1">
      <c r="A227" s="915"/>
      <c r="B227" s="919"/>
      <c r="C227" s="913"/>
      <c r="D227" s="55" t="s">
        <v>5</v>
      </c>
      <c r="E227" s="56"/>
      <c r="F227" s="65"/>
      <c r="G227" s="61" t="s">
        <v>679</v>
      </c>
      <c r="H227" s="43"/>
      <c r="I227" s="208"/>
      <c r="J227" s="209"/>
      <c r="K227" s="209"/>
      <c r="L227" s="209"/>
      <c r="M227" s="9"/>
      <c r="N227" s="899"/>
      <c r="O227" s="900"/>
      <c r="P227" s="901"/>
      <c r="Q227" s="874"/>
      <c r="R227" s="874"/>
      <c r="S227" s="841"/>
      <c r="T227" s="854"/>
    </row>
    <row r="228" spans="1:20" s="885" customFormat="1">
      <c r="A228" s="915"/>
      <c r="B228" s="919"/>
      <c r="C228" s="913"/>
      <c r="D228" s="18" t="s">
        <v>346</v>
      </c>
      <c r="E228" s="309" t="s">
        <v>707</v>
      </c>
      <c r="F228" s="214"/>
      <c r="G228" s="114" t="s">
        <v>708</v>
      </c>
      <c r="H228" s="43" t="s">
        <v>246</v>
      </c>
      <c r="I228" s="36">
        <v>4</v>
      </c>
      <c r="J228" s="209">
        <v>660</v>
      </c>
      <c r="K228" s="9">
        <v>600</v>
      </c>
      <c r="L228" s="209">
        <v>16.8</v>
      </c>
      <c r="M228" s="9">
        <f t="shared" si="14"/>
        <v>700.8</v>
      </c>
      <c r="N228" s="899">
        <v>0</v>
      </c>
      <c r="O228" s="900">
        <f t="shared" ref="O228:O290" si="17">I228-N228</f>
        <v>4</v>
      </c>
      <c r="P228" s="901">
        <f t="shared" si="15"/>
        <v>2803.2</v>
      </c>
      <c r="Q228" s="882"/>
      <c r="R228" s="882" t="s">
        <v>2446</v>
      </c>
      <c r="S228" s="883"/>
      <c r="T228" s="884"/>
    </row>
    <row r="229" spans="1:20" s="885" customFormat="1">
      <c r="A229" s="915"/>
      <c r="B229" s="919"/>
      <c r="C229" s="913"/>
      <c r="D229" s="18" t="s">
        <v>706</v>
      </c>
      <c r="E229" s="309" t="s">
        <v>704</v>
      </c>
      <c r="F229" s="214"/>
      <c r="G229" s="114" t="s">
        <v>705</v>
      </c>
      <c r="H229" s="43" t="s">
        <v>246</v>
      </c>
      <c r="I229" s="36">
        <v>2</v>
      </c>
      <c r="J229" s="209">
        <v>5328</v>
      </c>
      <c r="K229" s="9">
        <v>6000</v>
      </c>
      <c r="L229" s="209">
        <v>16.8</v>
      </c>
      <c r="M229" s="9">
        <f t="shared" si="14"/>
        <v>7008</v>
      </c>
      <c r="N229" s="899">
        <v>0</v>
      </c>
      <c r="O229" s="900">
        <f t="shared" si="17"/>
        <v>2</v>
      </c>
      <c r="P229" s="901">
        <f t="shared" si="15"/>
        <v>14016</v>
      </c>
      <c r="Q229" s="882"/>
      <c r="R229" s="882" t="s">
        <v>2446</v>
      </c>
      <c r="S229" s="883"/>
      <c r="T229" s="884"/>
    </row>
    <row r="230" spans="1:20">
      <c r="D230" s="18" t="s">
        <v>4</v>
      </c>
      <c r="E230" s="821"/>
      <c r="F230" s="215"/>
      <c r="G230" s="216" t="s">
        <v>703</v>
      </c>
      <c r="H230" s="43"/>
      <c r="I230" s="36"/>
      <c r="J230" s="19"/>
      <c r="K230" s="19"/>
      <c r="L230" s="209"/>
      <c r="M230" s="9"/>
      <c r="N230" s="899"/>
      <c r="O230" s="900"/>
      <c r="P230" s="901"/>
      <c r="Q230" s="874"/>
      <c r="R230" s="874"/>
      <c r="S230" s="841"/>
      <c r="T230" s="854"/>
    </row>
    <row r="231" spans="1:20" s="344" customFormat="1" ht="25.5">
      <c r="A231" s="915"/>
      <c r="B231" s="919"/>
      <c r="C231" s="913"/>
      <c r="D231" s="18" t="s">
        <v>702</v>
      </c>
      <c r="E231" s="805">
        <f>'[3]Plan Tron'!B227</f>
        <v>9828</v>
      </c>
      <c r="F231" s="805" t="str">
        <f>'[3]Plan Tron'!C227</f>
        <v>SINAPI (INSUMO)</v>
      </c>
      <c r="G231" s="643" t="str">
        <f>'[3]Plan Tron'!D227</f>
        <v xml:space="preserve"> TUBO PVC DEFOFO, JEI, 1 MPA, DN 150 MM, PARA REDEDE AGUA (NBR 7665)</v>
      </c>
      <c r="H231" s="805" t="str">
        <f>'[3]Plan Tron'!E227</f>
        <v>M</v>
      </c>
      <c r="I231" s="36">
        <f>32*2.7</f>
        <v>86.4</v>
      </c>
      <c r="J231" s="19">
        <f>58.84</f>
        <v>58.84</v>
      </c>
      <c r="K231" s="19">
        <f>'[3]Plan Tron'!F227</f>
        <v>62</v>
      </c>
      <c r="L231" s="19">
        <v>16.8</v>
      </c>
      <c r="M231" s="9">
        <f t="shared" si="14"/>
        <v>72.42</v>
      </c>
      <c r="N231" s="899">
        <v>0</v>
      </c>
      <c r="O231" s="900">
        <f t="shared" si="17"/>
        <v>86.4</v>
      </c>
      <c r="P231" s="901">
        <f t="shared" si="15"/>
        <v>6257.09</v>
      </c>
      <c r="Q231" s="874"/>
      <c r="R231" s="874"/>
      <c r="S231" s="841"/>
      <c r="T231" s="854"/>
    </row>
    <row r="232" spans="1:20" s="344" customFormat="1" ht="25.5">
      <c r="A232" s="915"/>
      <c r="B232" s="919"/>
      <c r="C232" s="913"/>
      <c r="D232" s="18" t="s">
        <v>701</v>
      </c>
      <c r="E232" s="805">
        <f>'[3]Plan Tron'!B228</f>
        <v>9875</v>
      </c>
      <c r="F232" s="805" t="str">
        <f>'[3]Plan Tron'!C228</f>
        <v>SINAPI (INSUMO)</v>
      </c>
      <c r="G232" s="643" t="str">
        <f>'[3]Plan Tron'!D228</f>
        <v xml:space="preserve">TUBO PVC, SOLDAVEL, DN 50 MM, PARA AGUA FRIA (NBR-5648) </v>
      </c>
      <c r="H232" s="805" t="str">
        <f>'[3]Plan Tron'!E228</f>
        <v>M</v>
      </c>
      <c r="I232" s="36">
        <f>6*20</f>
        <v>120</v>
      </c>
      <c r="J232" s="19">
        <f>9.36</f>
        <v>9.36</v>
      </c>
      <c r="K232" s="19">
        <f>'[3]Plan Tron'!F228</f>
        <v>10.51</v>
      </c>
      <c r="L232" s="19">
        <v>16.8</v>
      </c>
      <c r="M232" s="9">
        <f t="shared" si="14"/>
        <v>12.28</v>
      </c>
      <c r="N232" s="899">
        <v>0</v>
      </c>
      <c r="O232" s="900">
        <f t="shared" si="17"/>
        <v>120</v>
      </c>
      <c r="P232" s="901">
        <f t="shared" si="15"/>
        <v>1473.6</v>
      </c>
      <c r="Q232" s="874"/>
      <c r="R232" s="874"/>
      <c r="S232" s="841"/>
      <c r="T232" s="854"/>
    </row>
    <row r="233" spans="1:20">
      <c r="D233" s="18" t="s">
        <v>3</v>
      </c>
      <c r="E233" s="821"/>
      <c r="F233" s="215"/>
      <c r="G233" s="216" t="s">
        <v>700</v>
      </c>
      <c r="H233" s="43"/>
      <c r="I233" s="36"/>
      <c r="J233" s="19"/>
      <c r="K233" s="19"/>
      <c r="L233" s="209"/>
      <c r="M233" s="9"/>
      <c r="N233" s="899"/>
      <c r="O233" s="900"/>
      <c r="P233" s="901"/>
      <c r="Q233" s="874"/>
      <c r="R233" s="874"/>
      <c r="S233" s="841"/>
      <c r="T233" s="854"/>
    </row>
    <row r="234" spans="1:20" s="610" customFormat="1">
      <c r="A234" s="915"/>
      <c r="B234" s="919"/>
      <c r="C234" s="913"/>
      <c r="D234" s="18" t="s">
        <v>699</v>
      </c>
      <c r="E234" s="309" t="s">
        <v>697</v>
      </c>
      <c r="F234" s="214"/>
      <c r="G234" s="206" t="s">
        <v>698</v>
      </c>
      <c r="H234" s="43" t="s">
        <v>246</v>
      </c>
      <c r="I234" s="36">
        <v>96</v>
      </c>
      <c r="J234" s="19">
        <v>1.1200000000000001</v>
      </c>
      <c r="K234" s="9">
        <f>J234*$S$3</f>
        <v>1.4672000000000003</v>
      </c>
      <c r="L234" s="209">
        <v>16.8</v>
      </c>
      <c r="M234" s="9">
        <f t="shared" si="14"/>
        <v>1.71</v>
      </c>
      <c r="N234" s="899">
        <v>0</v>
      </c>
      <c r="O234" s="900">
        <f t="shared" si="17"/>
        <v>96</v>
      </c>
      <c r="P234" s="901">
        <f t="shared" si="15"/>
        <v>164.16</v>
      </c>
      <c r="Q234" s="873"/>
      <c r="R234" s="873"/>
      <c r="S234" s="840"/>
      <c r="T234" s="853"/>
    </row>
    <row r="235" spans="1:20" s="610" customFormat="1">
      <c r="A235" s="915"/>
      <c r="B235" s="919"/>
      <c r="C235" s="913"/>
      <c r="D235" s="18" t="s">
        <v>696</v>
      </c>
      <c r="E235" s="309" t="s">
        <v>694</v>
      </c>
      <c r="F235" s="214"/>
      <c r="G235" s="114" t="s">
        <v>695</v>
      </c>
      <c r="H235" s="43" t="s">
        <v>246</v>
      </c>
      <c r="I235" s="208">
        <v>48</v>
      </c>
      <c r="J235" s="209">
        <v>2.68</v>
      </c>
      <c r="K235" s="9">
        <f>J235*$S$3</f>
        <v>3.5108000000000001</v>
      </c>
      <c r="L235" s="209">
        <v>16.8</v>
      </c>
      <c r="M235" s="9">
        <f t="shared" si="14"/>
        <v>4.0999999999999996</v>
      </c>
      <c r="N235" s="899">
        <v>0</v>
      </c>
      <c r="O235" s="900">
        <f t="shared" si="17"/>
        <v>48</v>
      </c>
      <c r="P235" s="901">
        <f t="shared" si="15"/>
        <v>196.8</v>
      </c>
      <c r="Q235" s="873"/>
      <c r="R235" s="873"/>
      <c r="S235" s="840"/>
      <c r="T235" s="853"/>
    </row>
    <row r="236" spans="1:20" s="344" customFormat="1" ht="25.5">
      <c r="A236" s="915"/>
      <c r="B236" s="919"/>
      <c r="C236" s="913"/>
      <c r="D236" s="18" t="s">
        <v>693</v>
      </c>
      <c r="E236" s="309">
        <f>'[3]Plan Tron'!B229</f>
        <v>7142</v>
      </c>
      <c r="F236" s="309" t="str">
        <f>'[3]Plan Tron'!C229</f>
        <v>SINAPI (INSUMO)</v>
      </c>
      <c r="G236" s="63" t="str">
        <f>'[3]Plan Tron'!D229</f>
        <v xml:space="preserve">TE SOLDAVEL, PVC, 90 GRAUS,50 MM, PARA AGUA FRIA PREDIAL (NBR 5648) </v>
      </c>
      <c r="H236" s="18" t="str">
        <f>'[3]Plan Tron'!E229</f>
        <v>UN.</v>
      </c>
      <c r="I236" s="208">
        <v>48</v>
      </c>
      <c r="J236" s="354">
        <v>6.28</v>
      </c>
      <c r="K236" s="354">
        <f>'[3]Plan Tron'!F229</f>
        <v>8</v>
      </c>
      <c r="L236" s="209">
        <v>16.8</v>
      </c>
      <c r="M236" s="9">
        <f t="shared" si="14"/>
        <v>9.34</v>
      </c>
      <c r="N236" s="899">
        <v>0</v>
      </c>
      <c r="O236" s="900">
        <f t="shared" si="17"/>
        <v>48</v>
      </c>
      <c r="P236" s="901">
        <f t="shared" si="15"/>
        <v>448.32</v>
      </c>
      <c r="Q236" s="874"/>
      <c r="R236" s="874"/>
      <c r="S236" s="841"/>
      <c r="T236" s="854"/>
    </row>
    <row r="237" spans="1:20" s="885" customFormat="1" ht="29.25" customHeight="1">
      <c r="A237" s="915"/>
      <c r="B237" s="919"/>
      <c r="C237" s="913"/>
      <c r="D237" s="18" t="s">
        <v>692</v>
      </c>
      <c r="E237" s="820" t="s">
        <v>690</v>
      </c>
      <c r="F237" s="87"/>
      <c r="G237" s="206" t="s">
        <v>691</v>
      </c>
      <c r="H237" s="18" t="s">
        <v>326</v>
      </c>
      <c r="I237" s="36">
        <v>1</v>
      </c>
      <c r="J237" s="20">
        <v>240034</v>
      </c>
      <c r="K237" s="20">
        <v>306025.58</v>
      </c>
      <c r="L237" s="19">
        <v>16.8</v>
      </c>
      <c r="M237" s="9">
        <f t="shared" si="14"/>
        <v>357437.88</v>
      </c>
      <c r="N237" s="899">
        <v>0</v>
      </c>
      <c r="O237" s="900">
        <f t="shared" si="17"/>
        <v>1</v>
      </c>
      <c r="P237" s="901">
        <f t="shared" si="15"/>
        <v>357437.88</v>
      </c>
      <c r="Q237" s="882">
        <v>69</v>
      </c>
      <c r="R237" s="882" t="s">
        <v>2416</v>
      </c>
      <c r="S237" s="883"/>
      <c r="T237" s="884"/>
    </row>
    <row r="238" spans="1:20">
      <c r="D238" s="55" t="s">
        <v>1</v>
      </c>
      <c r="E238" s="42"/>
      <c r="F238" s="110"/>
      <c r="G238" s="114" t="s">
        <v>689</v>
      </c>
      <c r="H238" s="43"/>
      <c r="I238" s="208"/>
      <c r="J238" s="354"/>
      <c r="K238" s="354"/>
      <c r="L238" s="209"/>
      <c r="M238" s="9"/>
      <c r="N238" s="899"/>
      <c r="O238" s="900"/>
      <c r="P238" s="901"/>
      <c r="Q238" s="874"/>
      <c r="R238" s="874"/>
      <c r="S238" s="841"/>
      <c r="T238" s="854"/>
    </row>
    <row r="239" spans="1:20" s="837" customFormat="1">
      <c r="A239" s="915"/>
      <c r="B239" s="919"/>
      <c r="C239" s="913"/>
      <c r="D239" s="55" t="s">
        <v>688</v>
      </c>
      <c r="E239" s="309" t="s">
        <v>686</v>
      </c>
      <c r="F239" s="214"/>
      <c r="G239" s="206" t="s">
        <v>687</v>
      </c>
      <c r="H239" s="43" t="s">
        <v>246</v>
      </c>
      <c r="I239" s="208">
        <v>2</v>
      </c>
      <c r="J239" s="354">
        <v>4220</v>
      </c>
      <c r="K239" s="9">
        <f>J239*$S$3</f>
        <v>5528.2</v>
      </c>
      <c r="L239" s="209">
        <v>16.8</v>
      </c>
      <c r="M239" s="9">
        <f t="shared" si="14"/>
        <v>6456.94</v>
      </c>
      <c r="N239" s="899">
        <v>0</v>
      </c>
      <c r="O239" s="900">
        <f t="shared" si="17"/>
        <v>2</v>
      </c>
      <c r="P239" s="901">
        <f t="shared" si="15"/>
        <v>12913.88</v>
      </c>
      <c r="Q239" s="877"/>
      <c r="R239" s="877"/>
      <c r="S239" s="845"/>
      <c r="T239" s="858"/>
    </row>
    <row r="240" spans="1:20">
      <c r="D240" s="55" t="s">
        <v>0</v>
      </c>
      <c r="E240" s="42"/>
      <c r="F240" s="110"/>
      <c r="G240" s="114" t="s">
        <v>482</v>
      </c>
      <c r="H240" s="43"/>
      <c r="I240" s="208"/>
      <c r="J240" s="354"/>
      <c r="K240" s="354"/>
      <c r="L240" s="209"/>
      <c r="M240" s="9"/>
      <c r="N240" s="899"/>
      <c r="O240" s="900"/>
      <c r="P240" s="901"/>
      <c r="Q240" s="874"/>
      <c r="R240" s="874"/>
      <c r="S240" s="841"/>
      <c r="T240" s="854"/>
    </row>
    <row r="241" spans="1:20" s="610" customFormat="1">
      <c r="A241" s="915"/>
      <c r="B241" s="919"/>
      <c r="C241" s="913"/>
      <c r="D241" s="55" t="s">
        <v>685</v>
      </c>
      <c r="E241" s="309" t="s">
        <v>683</v>
      </c>
      <c r="F241" s="214"/>
      <c r="G241" s="114" t="s">
        <v>684</v>
      </c>
      <c r="H241" s="43" t="s">
        <v>246</v>
      </c>
      <c r="I241" s="208">
        <v>2</v>
      </c>
      <c r="J241" s="354">
        <v>945.81</v>
      </c>
      <c r="K241" s="9">
        <f>J241*$S$3</f>
        <v>1239.0110999999999</v>
      </c>
      <c r="L241" s="209">
        <v>16.8</v>
      </c>
      <c r="M241" s="9">
        <f t="shared" si="14"/>
        <v>1447.16</v>
      </c>
      <c r="N241" s="899">
        <v>0</v>
      </c>
      <c r="O241" s="900">
        <f t="shared" si="17"/>
        <v>2</v>
      </c>
      <c r="P241" s="901">
        <f t="shared" si="15"/>
        <v>2894.32</v>
      </c>
      <c r="Q241" s="873"/>
      <c r="R241" s="873"/>
      <c r="S241" s="840"/>
      <c r="T241" s="853"/>
    </row>
    <row r="242" spans="1:20" s="610" customFormat="1">
      <c r="A242" s="915"/>
      <c r="B242" s="919"/>
      <c r="C242" s="913"/>
      <c r="D242" s="55" t="s">
        <v>682</v>
      </c>
      <c r="E242" s="938" t="s">
        <v>1876</v>
      </c>
      <c r="F242" s="939"/>
      <c r="G242" s="114" t="s">
        <v>681</v>
      </c>
      <c r="H242" s="43" t="s">
        <v>246</v>
      </c>
      <c r="I242" s="208">
        <v>6</v>
      </c>
      <c r="J242" s="354">
        <v>880</v>
      </c>
      <c r="K242" s="9">
        <f>J242*$S$3</f>
        <v>1152.8</v>
      </c>
      <c r="L242" s="209">
        <v>16.8</v>
      </c>
      <c r="M242" s="9">
        <f t="shared" si="14"/>
        <v>1346.47</v>
      </c>
      <c r="N242" s="899">
        <v>0</v>
      </c>
      <c r="O242" s="900">
        <f t="shared" si="17"/>
        <v>6</v>
      </c>
      <c r="P242" s="901">
        <f t="shared" si="15"/>
        <v>8078.82</v>
      </c>
      <c r="Q242" s="873"/>
      <c r="R242" s="873"/>
      <c r="S242" s="840"/>
      <c r="T242" s="853"/>
    </row>
    <row r="243" spans="1:20">
      <c r="D243" s="198"/>
      <c r="E243" s="18"/>
      <c r="F243" s="64"/>
      <c r="G243" s="64"/>
      <c r="H243" s="18"/>
      <c r="I243" s="36"/>
      <c r="J243" s="20"/>
      <c r="K243" s="20"/>
      <c r="L243" s="20"/>
      <c r="M243" s="9"/>
      <c r="N243" s="926"/>
      <c r="O243" s="900"/>
      <c r="P243" s="901"/>
      <c r="Q243" s="874"/>
      <c r="R243" s="874"/>
      <c r="S243" s="841"/>
      <c r="T243" s="854"/>
    </row>
    <row r="244" spans="1:20">
      <c r="D244" s="198"/>
      <c r="E244" s="18"/>
      <c r="F244" s="64"/>
      <c r="G244" s="196"/>
      <c r="H244" s="18"/>
      <c r="I244" s="36"/>
      <c r="J244" s="20"/>
      <c r="K244" s="20"/>
      <c r="L244" s="20"/>
      <c r="M244" s="9"/>
      <c r="N244" s="936"/>
      <c r="O244" s="900"/>
      <c r="P244" s="901"/>
      <c r="Q244" s="874"/>
      <c r="R244" s="874"/>
      <c r="S244" s="841"/>
      <c r="T244" s="854"/>
    </row>
    <row r="245" spans="1:20">
      <c r="D245" s="198"/>
      <c r="E245" s="18"/>
      <c r="F245" s="64"/>
      <c r="G245" s="64"/>
      <c r="H245" s="18"/>
      <c r="I245" s="36"/>
      <c r="J245" s="20"/>
      <c r="K245" s="20"/>
      <c r="L245" s="20"/>
      <c r="M245" s="9"/>
      <c r="N245" s="926"/>
      <c r="O245" s="900"/>
      <c r="P245" s="901"/>
      <c r="Q245" s="874"/>
      <c r="R245" s="874"/>
      <c r="S245" s="841"/>
      <c r="T245" s="854"/>
    </row>
    <row r="246" spans="1:20">
      <c r="D246" s="59">
        <v>3</v>
      </c>
      <c r="E246" s="56"/>
      <c r="F246" s="168"/>
      <c r="G246" s="168" t="s">
        <v>680</v>
      </c>
      <c r="H246" s="196"/>
      <c r="I246" s="197"/>
      <c r="J246" s="58"/>
      <c r="K246" s="58"/>
      <c r="L246" s="58"/>
      <c r="M246" s="9"/>
      <c r="N246" s="926"/>
      <c r="O246" s="900"/>
      <c r="P246" s="901"/>
      <c r="Q246" s="874"/>
      <c r="R246" s="874"/>
      <c r="S246" s="841"/>
      <c r="T246" s="854"/>
    </row>
    <row r="247" spans="1:20">
      <c r="D247" s="55" t="s">
        <v>144</v>
      </c>
      <c r="E247" s="56"/>
      <c r="F247" s="168"/>
      <c r="G247" s="61" t="s">
        <v>679</v>
      </c>
      <c r="H247" s="18"/>
      <c r="I247" s="36"/>
      <c r="J247" s="20"/>
      <c r="K247" s="20"/>
      <c r="L247" s="20"/>
      <c r="M247" s="9"/>
      <c r="N247" s="926"/>
      <c r="O247" s="900"/>
      <c r="P247" s="901"/>
      <c r="Q247" s="874"/>
      <c r="R247" s="874"/>
      <c r="S247" s="841"/>
      <c r="T247" s="854"/>
    </row>
    <row r="248" spans="1:20" s="885" customFormat="1" ht="22.5" customHeight="1">
      <c r="A248" s="915"/>
      <c r="B248" s="919"/>
      <c r="C248" s="913"/>
      <c r="D248" s="55" t="s">
        <v>143</v>
      </c>
      <c r="E248" s="820" t="s">
        <v>677</v>
      </c>
      <c r="F248" s="87"/>
      <c r="G248" s="63" t="s">
        <v>678</v>
      </c>
      <c r="H248" s="18" t="s">
        <v>246</v>
      </c>
      <c r="I248" s="36">
        <v>1</v>
      </c>
      <c r="J248" s="19">
        <v>3640</v>
      </c>
      <c r="K248" s="9">
        <v>4400</v>
      </c>
      <c r="L248" s="19">
        <v>16.8</v>
      </c>
      <c r="M248" s="9">
        <f t="shared" si="14"/>
        <v>5139.2</v>
      </c>
      <c r="N248" s="899">
        <v>0</v>
      </c>
      <c r="O248" s="900">
        <f t="shared" si="17"/>
        <v>1</v>
      </c>
      <c r="P248" s="901">
        <f t="shared" si="15"/>
        <v>5139.2</v>
      </c>
      <c r="Q248" s="882"/>
      <c r="R248" s="882" t="s">
        <v>2446</v>
      </c>
      <c r="S248" s="883"/>
      <c r="T248" s="884"/>
    </row>
    <row r="249" spans="1:20" s="885" customFormat="1" ht="22.5" customHeight="1">
      <c r="A249" s="915"/>
      <c r="B249" s="919"/>
      <c r="C249" s="913"/>
      <c r="D249" s="55" t="s">
        <v>416</v>
      </c>
      <c r="E249" s="820" t="s">
        <v>675</v>
      </c>
      <c r="F249" s="87"/>
      <c r="G249" s="63" t="s">
        <v>676</v>
      </c>
      <c r="H249" s="18" t="s">
        <v>246</v>
      </c>
      <c r="I249" s="36">
        <v>5</v>
      </c>
      <c r="J249" s="19">
        <v>3640</v>
      </c>
      <c r="K249" s="9">
        <v>4400</v>
      </c>
      <c r="L249" s="19">
        <v>16.8</v>
      </c>
      <c r="M249" s="9">
        <f t="shared" si="14"/>
        <v>5139.2</v>
      </c>
      <c r="N249" s="899">
        <v>0</v>
      </c>
      <c r="O249" s="900">
        <f t="shared" si="17"/>
        <v>5</v>
      </c>
      <c r="P249" s="901">
        <f t="shared" si="15"/>
        <v>25696</v>
      </c>
      <c r="Q249" s="882"/>
      <c r="R249" s="882" t="s">
        <v>2446</v>
      </c>
      <c r="S249" s="883"/>
      <c r="T249" s="884"/>
    </row>
    <row r="250" spans="1:20" s="885" customFormat="1" ht="22.5" customHeight="1">
      <c r="A250" s="915"/>
      <c r="B250" s="919"/>
      <c r="C250" s="913"/>
      <c r="D250" s="55" t="s">
        <v>674</v>
      </c>
      <c r="E250" s="820" t="s">
        <v>672</v>
      </c>
      <c r="F250" s="87"/>
      <c r="G250" s="63" t="s">
        <v>673</v>
      </c>
      <c r="H250" s="18" t="s">
        <v>246</v>
      </c>
      <c r="I250" s="36">
        <v>4</v>
      </c>
      <c r="J250" s="19">
        <v>2310</v>
      </c>
      <c r="K250" s="9">
        <v>3200</v>
      </c>
      <c r="L250" s="19">
        <v>16.8</v>
      </c>
      <c r="M250" s="9">
        <f t="shared" si="14"/>
        <v>3737.6</v>
      </c>
      <c r="N250" s="899">
        <v>0</v>
      </c>
      <c r="O250" s="900">
        <f t="shared" si="17"/>
        <v>4</v>
      </c>
      <c r="P250" s="901">
        <f t="shared" si="15"/>
        <v>14950.4</v>
      </c>
      <c r="Q250" s="882"/>
      <c r="R250" s="882" t="s">
        <v>2446</v>
      </c>
      <c r="S250" s="883"/>
      <c r="T250" s="884"/>
    </row>
    <row r="251" spans="1:20" s="885" customFormat="1" ht="22.5" customHeight="1">
      <c r="A251" s="915"/>
      <c r="B251" s="919"/>
      <c r="C251" s="913"/>
      <c r="D251" s="55" t="s">
        <v>671</v>
      </c>
      <c r="E251" s="820" t="s">
        <v>669</v>
      </c>
      <c r="F251" s="87"/>
      <c r="G251" s="63" t="s">
        <v>670</v>
      </c>
      <c r="H251" s="18" t="s">
        <v>246</v>
      </c>
      <c r="I251" s="36">
        <v>1</v>
      </c>
      <c r="J251" s="19">
        <v>2310</v>
      </c>
      <c r="K251" s="9">
        <v>3200</v>
      </c>
      <c r="L251" s="19">
        <v>16.8</v>
      </c>
      <c r="M251" s="9">
        <f t="shared" si="14"/>
        <v>3737.6</v>
      </c>
      <c r="N251" s="899">
        <v>0</v>
      </c>
      <c r="O251" s="900">
        <f t="shared" si="17"/>
        <v>1</v>
      </c>
      <c r="P251" s="901">
        <f t="shared" si="15"/>
        <v>3737.6</v>
      </c>
      <c r="Q251" s="882"/>
      <c r="R251" s="882" t="s">
        <v>2446</v>
      </c>
      <c r="S251" s="883"/>
      <c r="T251" s="884"/>
    </row>
    <row r="252" spans="1:20" s="885" customFormat="1">
      <c r="A252" s="915"/>
      <c r="B252" s="919"/>
      <c r="C252" s="913"/>
      <c r="D252" s="55" t="s">
        <v>668</v>
      </c>
      <c r="E252" s="820" t="s">
        <v>666</v>
      </c>
      <c r="F252" s="87"/>
      <c r="G252" s="63" t="s">
        <v>667</v>
      </c>
      <c r="H252" s="18" t="s">
        <v>246</v>
      </c>
      <c r="I252" s="36">
        <v>2</v>
      </c>
      <c r="J252" s="19">
        <v>300</v>
      </c>
      <c r="K252" s="9">
        <v>300</v>
      </c>
      <c r="L252" s="19">
        <v>16.8</v>
      </c>
      <c r="M252" s="9">
        <f t="shared" si="14"/>
        <v>350.4</v>
      </c>
      <c r="N252" s="899">
        <v>0</v>
      </c>
      <c r="O252" s="900">
        <f t="shared" si="17"/>
        <v>2</v>
      </c>
      <c r="P252" s="901">
        <f t="shared" si="15"/>
        <v>700.8</v>
      </c>
      <c r="Q252" s="882"/>
      <c r="R252" s="882" t="s">
        <v>2446</v>
      </c>
      <c r="S252" s="883"/>
      <c r="T252" s="884"/>
    </row>
    <row r="253" spans="1:20" s="318" customFormat="1">
      <c r="A253" s="915"/>
      <c r="B253" s="919"/>
      <c r="C253" s="913"/>
      <c r="D253" s="55" t="s">
        <v>142</v>
      </c>
      <c r="E253" s="56"/>
      <c r="F253" s="65"/>
      <c r="G253" s="61" t="s">
        <v>665</v>
      </c>
      <c r="H253" s="18"/>
      <c r="I253" s="36"/>
      <c r="J253" s="19"/>
      <c r="K253" s="19"/>
      <c r="L253" s="19"/>
      <c r="M253" s="9"/>
      <c r="N253" s="899"/>
      <c r="O253" s="900"/>
      <c r="P253" s="901"/>
      <c r="Q253" s="874"/>
      <c r="R253" s="874"/>
      <c r="S253" s="841"/>
      <c r="T253" s="854"/>
    </row>
    <row r="254" spans="1:20" s="610" customFormat="1">
      <c r="A254" s="915"/>
      <c r="B254" s="919"/>
      <c r="C254" s="913"/>
      <c r="D254" s="55" t="s">
        <v>141</v>
      </c>
      <c r="E254" s="820" t="s">
        <v>663</v>
      </c>
      <c r="F254" s="87"/>
      <c r="G254" s="206" t="s">
        <v>664</v>
      </c>
      <c r="H254" s="18" t="s">
        <v>246</v>
      </c>
      <c r="I254" s="36">
        <v>6</v>
      </c>
      <c r="J254" s="19">
        <v>373.09</v>
      </c>
      <c r="K254" s="9">
        <f>J254*$S$3</f>
        <v>488.74789999999996</v>
      </c>
      <c r="L254" s="19">
        <v>16.8</v>
      </c>
      <c r="M254" s="9">
        <f t="shared" si="14"/>
        <v>570.86</v>
      </c>
      <c r="N254" s="899">
        <v>0</v>
      </c>
      <c r="O254" s="900">
        <f t="shared" si="17"/>
        <v>6</v>
      </c>
      <c r="P254" s="901">
        <f t="shared" si="15"/>
        <v>3425.16</v>
      </c>
      <c r="Q254" s="873"/>
      <c r="R254" s="873"/>
      <c r="S254" s="840"/>
      <c r="T254" s="853"/>
    </row>
    <row r="255" spans="1:20" s="610" customFormat="1">
      <c r="A255" s="915" t="s">
        <v>2456</v>
      </c>
      <c r="B255" s="919"/>
      <c r="C255" s="913"/>
      <c r="D255" s="55" t="s">
        <v>662</v>
      </c>
      <c r="E255" s="820" t="s">
        <v>660</v>
      </c>
      <c r="F255" s="87"/>
      <c r="G255" s="206" t="s">
        <v>661</v>
      </c>
      <c r="H255" s="18" t="s">
        <v>246</v>
      </c>
      <c r="I255" s="36">
        <v>4</v>
      </c>
      <c r="J255" s="19">
        <v>2967.5</v>
      </c>
      <c r="K255" s="9">
        <f>J255*$S$3</f>
        <v>3887.4250000000002</v>
      </c>
      <c r="L255" s="19">
        <v>16.8</v>
      </c>
      <c r="M255" s="9">
        <f t="shared" si="14"/>
        <v>4540.51</v>
      </c>
      <c r="N255" s="899">
        <v>0</v>
      </c>
      <c r="O255" s="900">
        <f t="shared" si="17"/>
        <v>4</v>
      </c>
      <c r="P255" s="901">
        <f t="shared" si="15"/>
        <v>18162.04</v>
      </c>
      <c r="Q255" s="873"/>
      <c r="R255" s="873"/>
      <c r="S255" s="840"/>
      <c r="T255" s="853"/>
    </row>
    <row r="256" spans="1:20" s="610" customFormat="1">
      <c r="A256" s="915" t="s">
        <v>2456</v>
      </c>
      <c r="B256" s="919"/>
      <c r="C256" s="913"/>
      <c r="D256" s="55" t="s">
        <v>659</v>
      </c>
      <c r="E256" s="820" t="s">
        <v>657</v>
      </c>
      <c r="F256" s="87"/>
      <c r="G256" s="206" t="s">
        <v>658</v>
      </c>
      <c r="H256" s="18" t="s">
        <v>246</v>
      </c>
      <c r="I256" s="36">
        <v>4</v>
      </c>
      <c r="J256" s="19">
        <v>2494.8000000000002</v>
      </c>
      <c r="K256" s="9">
        <f>J256*$S$3</f>
        <v>3268.1880000000006</v>
      </c>
      <c r="L256" s="19">
        <v>16.8</v>
      </c>
      <c r="M256" s="9">
        <f t="shared" si="14"/>
        <v>3817.24</v>
      </c>
      <c r="N256" s="899">
        <v>0</v>
      </c>
      <c r="O256" s="900">
        <f t="shared" si="17"/>
        <v>4</v>
      </c>
      <c r="P256" s="901">
        <f t="shared" si="15"/>
        <v>15268.96</v>
      </c>
      <c r="Q256" s="873"/>
      <c r="R256" s="873"/>
      <c r="S256" s="840"/>
      <c r="T256" s="853"/>
    </row>
    <row r="257" spans="1:20" s="610" customFormat="1">
      <c r="A257" s="915" t="s">
        <v>2456</v>
      </c>
      <c r="B257" s="919"/>
      <c r="C257" s="913"/>
      <c r="D257" s="55" t="s">
        <v>656</v>
      </c>
      <c r="E257" s="820" t="s">
        <v>654</v>
      </c>
      <c r="F257" s="87"/>
      <c r="G257" s="206" t="s">
        <v>655</v>
      </c>
      <c r="H257" s="18" t="s">
        <v>246</v>
      </c>
      <c r="I257" s="36">
        <v>1</v>
      </c>
      <c r="J257" s="19">
        <v>6953.31</v>
      </c>
      <c r="K257" s="9">
        <f>J257*$S$3</f>
        <v>9108.8361000000004</v>
      </c>
      <c r="L257" s="19">
        <v>16.8</v>
      </c>
      <c r="M257" s="9">
        <f t="shared" si="14"/>
        <v>10639.12</v>
      </c>
      <c r="N257" s="899">
        <v>0</v>
      </c>
      <c r="O257" s="900">
        <f t="shared" si="17"/>
        <v>1</v>
      </c>
      <c r="P257" s="901">
        <f t="shared" si="15"/>
        <v>10639.12</v>
      </c>
      <c r="Q257" s="873"/>
      <c r="R257" s="873"/>
      <c r="S257" s="840"/>
      <c r="T257" s="853"/>
    </row>
    <row r="258" spans="1:20" s="610" customFormat="1">
      <c r="A258" s="915" t="s">
        <v>2456</v>
      </c>
      <c r="B258" s="919"/>
      <c r="C258" s="913"/>
      <c r="D258" s="55" t="s">
        <v>653</v>
      </c>
      <c r="E258" s="820" t="s">
        <v>651</v>
      </c>
      <c r="F258" s="87"/>
      <c r="G258" s="206" t="s">
        <v>652</v>
      </c>
      <c r="H258" s="18" t="s">
        <v>246</v>
      </c>
      <c r="I258" s="36">
        <v>1</v>
      </c>
      <c r="J258" s="19">
        <v>4617.8599999999997</v>
      </c>
      <c r="K258" s="9">
        <f>J258*$S$3</f>
        <v>6049.3966</v>
      </c>
      <c r="L258" s="19">
        <v>16.8</v>
      </c>
      <c r="M258" s="9">
        <f t="shared" si="14"/>
        <v>7065.7</v>
      </c>
      <c r="N258" s="899">
        <v>0</v>
      </c>
      <c r="O258" s="900">
        <f t="shared" si="17"/>
        <v>1</v>
      </c>
      <c r="P258" s="901">
        <f t="shared" si="15"/>
        <v>7065.7</v>
      </c>
      <c r="Q258" s="873"/>
      <c r="R258" s="873"/>
      <c r="S258" s="840"/>
      <c r="T258" s="853"/>
    </row>
    <row r="259" spans="1:20">
      <c r="D259" s="55"/>
      <c r="E259" s="820"/>
      <c r="F259" s="87"/>
      <c r="G259" s="206"/>
      <c r="H259" s="18"/>
      <c r="I259" s="36"/>
      <c r="J259" s="19"/>
      <c r="K259" s="19"/>
      <c r="L259" s="19"/>
      <c r="M259" s="9"/>
      <c r="N259" s="899"/>
      <c r="O259" s="900"/>
      <c r="P259" s="901"/>
      <c r="Q259" s="874"/>
      <c r="R259" s="874"/>
      <c r="S259" s="841"/>
      <c r="T259" s="854"/>
    </row>
    <row r="260" spans="1:20">
      <c r="D260" s="55"/>
      <c r="E260" s="820"/>
      <c r="F260" s="87"/>
      <c r="G260" s="206"/>
      <c r="H260" s="18"/>
      <c r="I260" s="36"/>
      <c r="J260" s="19"/>
      <c r="K260" s="19"/>
      <c r="L260" s="19"/>
      <c r="M260" s="9"/>
      <c r="N260" s="899"/>
      <c r="O260" s="900"/>
      <c r="P260" s="901"/>
      <c r="Q260" s="874"/>
      <c r="R260" s="874"/>
      <c r="S260" s="841"/>
      <c r="T260" s="854"/>
    </row>
    <row r="261" spans="1:20" s="610" customFormat="1">
      <c r="A261" s="915" t="s">
        <v>2456</v>
      </c>
      <c r="B261" s="919"/>
      <c r="C261" s="913"/>
      <c r="D261" s="55" t="s">
        <v>650</v>
      </c>
      <c r="E261" s="820" t="s">
        <v>648</v>
      </c>
      <c r="F261" s="87"/>
      <c r="G261" s="206" t="s">
        <v>649</v>
      </c>
      <c r="H261" s="18" t="s">
        <v>246</v>
      </c>
      <c r="I261" s="36">
        <v>1</v>
      </c>
      <c r="J261" s="19">
        <v>3051.59</v>
      </c>
      <c r="K261" s="9">
        <f t="shared" ref="K261:K270" si="18">J261*$S$3</f>
        <v>3997.5829000000003</v>
      </c>
      <c r="L261" s="19">
        <v>16.8</v>
      </c>
      <c r="M261" s="9">
        <f t="shared" si="14"/>
        <v>4669.18</v>
      </c>
      <c r="N261" s="899">
        <v>0</v>
      </c>
      <c r="O261" s="900">
        <f t="shared" si="17"/>
        <v>1</v>
      </c>
      <c r="P261" s="901">
        <f t="shared" si="15"/>
        <v>4669.18</v>
      </c>
      <c r="Q261" s="873"/>
      <c r="R261" s="873"/>
      <c r="S261" s="840"/>
      <c r="T261" s="853"/>
    </row>
    <row r="262" spans="1:20" s="610" customFormat="1">
      <c r="A262" s="915" t="s">
        <v>2456</v>
      </c>
      <c r="B262" s="919"/>
      <c r="C262" s="913"/>
      <c r="D262" s="55" t="s">
        <v>647</v>
      </c>
      <c r="E262" s="820" t="s">
        <v>645</v>
      </c>
      <c r="F262" s="87"/>
      <c r="G262" s="206" t="s">
        <v>646</v>
      </c>
      <c r="H262" s="18" t="s">
        <v>246</v>
      </c>
      <c r="I262" s="36">
        <v>1</v>
      </c>
      <c r="J262" s="19">
        <v>2609.0700000000002</v>
      </c>
      <c r="K262" s="9">
        <f t="shared" si="18"/>
        <v>3417.8817000000004</v>
      </c>
      <c r="L262" s="19">
        <v>16.8</v>
      </c>
      <c r="M262" s="9">
        <f t="shared" si="14"/>
        <v>3992.09</v>
      </c>
      <c r="N262" s="899">
        <v>0</v>
      </c>
      <c r="O262" s="900">
        <f t="shared" si="17"/>
        <v>1</v>
      </c>
      <c r="P262" s="901">
        <f t="shared" si="15"/>
        <v>3992.09</v>
      </c>
      <c r="Q262" s="873"/>
      <c r="R262" s="873"/>
      <c r="S262" s="840"/>
      <c r="T262" s="853"/>
    </row>
    <row r="263" spans="1:20" s="610" customFormat="1">
      <c r="A263" s="915" t="s">
        <v>2456</v>
      </c>
      <c r="B263" s="919"/>
      <c r="C263" s="913"/>
      <c r="D263" s="55" t="s">
        <v>644</v>
      </c>
      <c r="E263" s="820" t="s">
        <v>642</v>
      </c>
      <c r="F263" s="87"/>
      <c r="G263" s="206" t="s">
        <v>643</v>
      </c>
      <c r="H263" s="18" t="s">
        <v>246</v>
      </c>
      <c r="I263" s="36">
        <v>1</v>
      </c>
      <c r="J263" s="19">
        <v>1200</v>
      </c>
      <c r="K263" s="9">
        <f t="shared" si="18"/>
        <v>1572</v>
      </c>
      <c r="L263" s="19">
        <v>16.8</v>
      </c>
      <c r="M263" s="9">
        <f t="shared" si="14"/>
        <v>1836.1</v>
      </c>
      <c r="N263" s="899">
        <v>0</v>
      </c>
      <c r="O263" s="900">
        <f t="shared" si="17"/>
        <v>1</v>
      </c>
      <c r="P263" s="901">
        <f t="shared" si="15"/>
        <v>1836.1</v>
      </c>
      <c r="Q263" s="873"/>
      <c r="R263" s="873"/>
      <c r="S263" s="840"/>
      <c r="T263" s="853"/>
    </row>
    <row r="264" spans="1:20" s="610" customFormat="1">
      <c r="A264" s="915" t="s">
        <v>2456</v>
      </c>
      <c r="B264" s="919"/>
      <c r="C264" s="913"/>
      <c r="D264" s="55" t="s">
        <v>641</v>
      </c>
      <c r="E264" s="820" t="s">
        <v>639</v>
      </c>
      <c r="F264" s="87"/>
      <c r="G264" s="206" t="s">
        <v>640</v>
      </c>
      <c r="H264" s="18" t="s">
        <v>246</v>
      </c>
      <c r="I264" s="36">
        <v>1</v>
      </c>
      <c r="J264" s="19">
        <v>1888.88</v>
      </c>
      <c r="K264" s="9">
        <f t="shared" si="18"/>
        <v>2474.4328</v>
      </c>
      <c r="L264" s="19">
        <v>16.8</v>
      </c>
      <c r="M264" s="9">
        <f t="shared" si="14"/>
        <v>2890.14</v>
      </c>
      <c r="N264" s="899">
        <v>0</v>
      </c>
      <c r="O264" s="900">
        <f t="shared" si="17"/>
        <v>1</v>
      </c>
      <c r="P264" s="901">
        <f t="shared" si="15"/>
        <v>2890.14</v>
      </c>
      <c r="Q264" s="873"/>
      <c r="R264" s="873"/>
      <c r="S264" s="840"/>
      <c r="T264" s="853"/>
    </row>
    <row r="265" spans="1:20" s="610" customFormat="1">
      <c r="A265" s="915"/>
      <c r="B265" s="919"/>
      <c r="C265" s="913"/>
      <c r="D265" s="55" t="s">
        <v>638</v>
      </c>
      <c r="E265" s="820" t="s">
        <v>636</v>
      </c>
      <c r="F265" s="87"/>
      <c r="G265" s="206" t="s">
        <v>637</v>
      </c>
      <c r="H265" s="18" t="s">
        <v>246</v>
      </c>
      <c r="I265" s="36">
        <v>1</v>
      </c>
      <c r="J265" s="19">
        <v>861.37</v>
      </c>
      <c r="K265" s="9">
        <f t="shared" si="18"/>
        <v>1128.3947000000001</v>
      </c>
      <c r="L265" s="19">
        <v>16.8</v>
      </c>
      <c r="M265" s="9">
        <f t="shared" si="14"/>
        <v>1317.97</v>
      </c>
      <c r="N265" s="899">
        <v>0</v>
      </c>
      <c r="O265" s="900">
        <f t="shared" si="17"/>
        <v>1</v>
      </c>
      <c r="P265" s="901">
        <f t="shared" si="15"/>
        <v>1317.97</v>
      </c>
      <c r="Q265" s="873"/>
      <c r="R265" s="873"/>
      <c r="S265" s="840"/>
      <c r="T265" s="853"/>
    </row>
    <row r="266" spans="1:20" s="610" customFormat="1">
      <c r="A266" s="915"/>
      <c r="B266" s="919"/>
      <c r="C266" s="913"/>
      <c r="D266" s="55" t="s">
        <v>635</v>
      </c>
      <c r="E266" s="820" t="s">
        <v>633</v>
      </c>
      <c r="F266" s="87"/>
      <c r="G266" s="206" t="s">
        <v>634</v>
      </c>
      <c r="H266" s="18" t="s">
        <v>246</v>
      </c>
      <c r="I266" s="36">
        <v>1</v>
      </c>
      <c r="J266" s="19">
        <v>1829.56</v>
      </c>
      <c r="K266" s="9">
        <f t="shared" si="18"/>
        <v>2396.7235999999998</v>
      </c>
      <c r="L266" s="19">
        <v>16.8</v>
      </c>
      <c r="M266" s="9">
        <f t="shared" si="14"/>
        <v>2799.37</v>
      </c>
      <c r="N266" s="899">
        <v>0</v>
      </c>
      <c r="O266" s="900">
        <f t="shared" si="17"/>
        <v>1</v>
      </c>
      <c r="P266" s="901">
        <f t="shared" si="15"/>
        <v>2799.37</v>
      </c>
      <c r="Q266" s="873"/>
      <c r="R266" s="873"/>
      <c r="S266" s="840"/>
      <c r="T266" s="853"/>
    </row>
    <row r="267" spans="1:20" s="610" customFormat="1">
      <c r="A267" s="915"/>
      <c r="B267" s="919"/>
      <c r="C267" s="913"/>
      <c r="D267" s="55" t="s">
        <v>632</v>
      </c>
      <c r="E267" s="832" t="s">
        <v>1877</v>
      </c>
      <c r="F267" s="217"/>
      <c r="G267" s="206" t="s">
        <v>631</v>
      </c>
      <c r="H267" s="18" t="s">
        <v>246</v>
      </c>
      <c r="I267" s="36">
        <v>1</v>
      </c>
      <c r="J267" s="19">
        <v>2200</v>
      </c>
      <c r="K267" s="9">
        <f t="shared" si="18"/>
        <v>2882</v>
      </c>
      <c r="L267" s="19">
        <v>16.8</v>
      </c>
      <c r="M267" s="9">
        <f t="shared" si="14"/>
        <v>3366.18</v>
      </c>
      <c r="N267" s="899">
        <v>0</v>
      </c>
      <c r="O267" s="900">
        <f t="shared" si="17"/>
        <v>1</v>
      </c>
      <c r="P267" s="901">
        <f t="shared" si="15"/>
        <v>3366.18</v>
      </c>
      <c r="Q267" s="873"/>
      <c r="R267" s="873"/>
      <c r="S267" s="840"/>
      <c r="T267" s="853"/>
    </row>
    <row r="268" spans="1:20" s="610" customFormat="1">
      <c r="A268" s="915"/>
      <c r="B268" s="919"/>
      <c r="C268" s="913"/>
      <c r="D268" s="55" t="s">
        <v>630</v>
      </c>
      <c r="E268" s="820" t="s">
        <v>628</v>
      </c>
      <c r="F268" s="87"/>
      <c r="G268" s="206" t="s">
        <v>629</v>
      </c>
      <c r="H268" s="18" t="s">
        <v>246</v>
      </c>
      <c r="I268" s="36">
        <v>1</v>
      </c>
      <c r="J268" s="20">
        <v>458.3</v>
      </c>
      <c r="K268" s="9">
        <f t="shared" si="18"/>
        <v>600.37300000000005</v>
      </c>
      <c r="L268" s="19">
        <v>16.8</v>
      </c>
      <c r="M268" s="9">
        <f t="shared" si="14"/>
        <v>701.24</v>
      </c>
      <c r="N268" s="899">
        <v>0</v>
      </c>
      <c r="O268" s="900">
        <f t="shared" si="17"/>
        <v>1</v>
      </c>
      <c r="P268" s="901">
        <f t="shared" si="15"/>
        <v>701.24</v>
      </c>
      <c r="Q268" s="873"/>
      <c r="R268" s="873"/>
      <c r="S268" s="840"/>
      <c r="T268" s="853"/>
    </row>
    <row r="269" spans="1:20" s="610" customFormat="1">
      <c r="A269" s="915"/>
      <c r="B269" s="919"/>
      <c r="C269" s="913"/>
      <c r="D269" s="55" t="s">
        <v>627</v>
      </c>
      <c r="E269" s="820" t="s">
        <v>625</v>
      </c>
      <c r="F269" s="87"/>
      <c r="G269" s="206" t="s">
        <v>626</v>
      </c>
      <c r="H269" s="18" t="s">
        <v>246</v>
      </c>
      <c r="I269" s="36">
        <v>1</v>
      </c>
      <c r="J269" s="20">
        <v>1049.52</v>
      </c>
      <c r="K269" s="9">
        <f t="shared" si="18"/>
        <v>1374.8712</v>
      </c>
      <c r="L269" s="19">
        <v>16.8</v>
      </c>
      <c r="M269" s="9">
        <f t="shared" si="14"/>
        <v>1605.85</v>
      </c>
      <c r="N269" s="899">
        <v>0</v>
      </c>
      <c r="O269" s="900">
        <f t="shared" si="17"/>
        <v>1</v>
      </c>
      <c r="P269" s="901">
        <f t="shared" si="15"/>
        <v>1605.85</v>
      </c>
      <c r="Q269" s="873"/>
      <c r="R269" s="873"/>
      <c r="S269" s="840"/>
      <c r="T269" s="853"/>
    </row>
    <row r="270" spans="1:20" s="610" customFormat="1">
      <c r="A270" s="915"/>
      <c r="B270" s="919"/>
      <c r="C270" s="913"/>
      <c r="D270" s="55" t="s">
        <v>624</v>
      </c>
      <c r="E270" s="820" t="s">
        <v>622</v>
      </c>
      <c r="F270" s="87"/>
      <c r="G270" s="206" t="s">
        <v>623</v>
      </c>
      <c r="H270" s="18" t="s">
        <v>246</v>
      </c>
      <c r="I270" s="36">
        <v>1</v>
      </c>
      <c r="J270" s="20">
        <v>1164.5899999999999</v>
      </c>
      <c r="K270" s="9">
        <f t="shared" si="18"/>
        <v>1525.6128999999999</v>
      </c>
      <c r="L270" s="19">
        <v>16.8</v>
      </c>
      <c r="M270" s="9">
        <f t="shared" si="14"/>
        <v>1781.92</v>
      </c>
      <c r="N270" s="899">
        <v>0</v>
      </c>
      <c r="O270" s="900">
        <f t="shared" si="17"/>
        <v>1</v>
      </c>
      <c r="P270" s="901">
        <f t="shared" si="15"/>
        <v>1781.92</v>
      </c>
      <c r="Q270" s="873"/>
      <c r="R270" s="873"/>
      <c r="S270" s="840"/>
      <c r="T270" s="853"/>
    </row>
    <row r="271" spans="1:20">
      <c r="D271" s="55" t="s">
        <v>414</v>
      </c>
      <c r="E271" s="56"/>
      <c r="F271" s="65"/>
      <c r="G271" s="61" t="s">
        <v>621</v>
      </c>
      <c r="H271" s="18"/>
      <c r="I271" s="36"/>
      <c r="J271" s="20"/>
      <c r="K271" s="20"/>
      <c r="L271" s="19"/>
      <c r="M271" s="9"/>
      <c r="N271" s="899"/>
      <c r="O271" s="900"/>
      <c r="P271" s="901"/>
      <c r="Q271" s="874"/>
      <c r="R271" s="874"/>
      <c r="S271" s="841"/>
      <c r="T271" s="854"/>
    </row>
    <row r="272" spans="1:20" s="610" customFormat="1">
      <c r="A272" s="915" t="s">
        <v>2456</v>
      </c>
      <c r="B272" s="919"/>
      <c r="C272" s="913"/>
      <c r="D272" s="55" t="s">
        <v>413</v>
      </c>
      <c r="E272" s="820" t="s">
        <v>388</v>
      </c>
      <c r="F272" s="87"/>
      <c r="G272" s="206" t="s">
        <v>620</v>
      </c>
      <c r="H272" s="18" t="s">
        <v>246</v>
      </c>
      <c r="I272" s="36">
        <v>4</v>
      </c>
      <c r="J272" s="20">
        <v>3587.24</v>
      </c>
      <c r="K272" s="9">
        <f t="shared" ref="K272:K293" si="19">J272*$S$3</f>
        <v>4699.2843999999996</v>
      </c>
      <c r="L272" s="19">
        <v>16.8</v>
      </c>
      <c r="M272" s="9">
        <f t="shared" si="14"/>
        <v>5488.76</v>
      </c>
      <c r="N272" s="899">
        <v>0</v>
      </c>
      <c r="O272" s="900">
        <f t="shared" si="17"/>
        <v>4</v>
      </c>
      <c r="P272" s="901">
        <f t="shared" si="15"/>
        <v>21955.040000000001</v>
      </c>
      <c r="Q272" s="873"/>
      <c r="R272" s="873"/>
      <c r="S272" s="840"/>
      <c r="T272" s="853"/>
    </row>
    <row r="273" spans="1:20" s="610" customFormat="1">
      <c r="A273" s="915" t="s">
        <v>2456</v>
      </c>
      <c r="B273" s="919"/>
      <c r="C273" s="913"/>
      <c r="D273" s="55" t="s">
        <v>619</v>
      </c>
      <c r="E273" s="820" t="s">
        <v>617</v>
      </c>
      <c r="F273" s="87"/>
      <c r="G273" s="206" t="s">
        <v>618</v>
      </c>
      <c r="H273" s="18" t="s">
        <v>246</v>
      </c>
      <c r="I273" s="36">
        <v>4</v>
      </c>
      <c r="J273" s="20">
        <v>5974.88</v>
      </c>
      <c r="K273" s="9">
        <f t="shared" si="19"/>
        <v>7827.0928000000004</v>
      </c>
      <c r="L273" s="19">
        <v>16.8</v>
      </c>
      <c r="M273" s="9">
        <f t="shared" ref="M273:M336" si="20">ROUND(K273*(L273/100+1),2)</f>
        <v>9142.0400000000009</v>
      </c>
      <c r="N273" s="899">
        <v>0</v>
      </c>
      <c r="O273" s="900">
        <f t="shared" si="17"/>
        <v>4</v>
      </c>
      <c r="P273" s="901">
        <f t="shared" ref="P273:P336" si="21">ROUND(O273*M273,2)</f>
        <v>36568.160000000003</v>
      </c>
      <c r="Q273" s="873"/>
      <c r="R273" s="873"/>
      <c r="S273" s="840"/>
      <c r="T273" s="853"/>
    </row>
    <row r="274" spans="1:20" s="610" customFormat="1">
      <c r="A274" s="915" t="s">
        <v>2456</v>
      </c>
      <c r="B274" s="919"/>
      <c r="C274" s="913"/>
      <c r="D274" s="55" t="s">
        <v>616</v>
      </c>
      <c r="E274" s="820" t="s">
        <v>614</v>
      </c>
      <c r="F274" s="87"/>
      <c r="G274" s="206" t="s">
        <v>615</v>
      </c>
      <c r="H274" s="18" t="s">
        <v>246</v>
      </c>
      <c r="I274" s="36">
        <v>4</v>
      </c>
      <c r="J274" s="20">
        <v>4354.18</v>
      </c>
      <c r="K274" s="9">
        <f t="shared" si="19"/>
        <v>5703.9758000000002</v>
      </c>
      <c r="L274" s="19">
        <v>16.8</v>
      </c>
      <c r="M274" s="9">
        <f t="shared" si="20"/>
        <v>6662.24</v>
      </c>
      <c r="N274" s="899">
        <v>0</v>
      </c>
      <c r="O274" s="900">
        <f t="shared" si="17"/>
        <v>4</v>
      </c>
      <c r="P274" s="901">
        <f t="shared" si="21"/>
        <v>26648.959999999999</v>
      </c>
      <c r="Q274" s="873"/>
      <c r="R274" s="873"/>
      <c r="S274" s="840"/>
      <c r="T274" s="853"/>
    </row>
    <row r="275" spans="1:20" s="610" customFormat="1">
      <c r="A275" s="915" t="s">
        <v>2456</v>
      </c>
      <c r="B275" s="919"/>
      <c r="C275" s="913"/>
      <c r="D275" s="55" t="s">
        <v>613</v>
      </c>
      <c r="E275" s="820" t="s">
        <v>611</v>
      </c>
      <c r="F275" s="87"/>
      <c r="G275" s="206" t="s">
        <v>612</v>
      </c>
      <c r="H275" s="18" t="s">
        <v>246</v>
      </c>
      <c r="I275" s="36">
        <v>1</v>
      </c>
      <c r="J275" s="20">
        <v>889.79</v>
      </c>
      <c r="K275" s="9">
        <f t="shared" si="19"/>
        <v>1165.6249</v>
      </c>
      <c r="L275" s="19">
        <v>16.8</v>
      </c>
      <c r="M275" s="9">
        <f t="shared" si="20"/>
        <v>1361.45</v>
      </c>
      <c r="N275" s="899">
        <v>0</v>
      </c>
      <c r="O275" s="900">
        <f t="shared" si="17"/>
        <v>1</v>
      </c>
      <c r="P275" s="901">
        <f t="shared" si="21"/>
        <v>1361.45</v>
      </c>
      <c r="Q275" s="873"/>
      <c r="R275" s="873"/>
      <c r="S275" s="840"/>
      <c r="T275" s="853"/>
    </row>
    <row r="276" spans="1:20" s="610" customFormat="1">
      <c r="A276" s="915" t="s">
        <v>2456</v>
      </c>
      <c r="B276" s="919"/>
      <c r="C276" s="913"/>
      <c r="D276" s="55" t="s">
        <v>610</v>
      </c>
      <c r="E276" s="820" t="s">
        <v>608</v>
      </c>
      <c r="F276" s="87"/>
      <c r="G276" s="206" t="s">
        <v>609</v>
      </c>
      <c r="H276" s="18" t="s">
        <v>246</v>
      </c>
      <c r="I276" s="36">
        <v>2</v>
      </c>
      <c r="J276" s="20">
        <v>7814.78</v>
      </c>
      <c r="K276" s="9">
        <f t="shared" si="19"/>
        <v>10237.361800000001</v>
      </c>
      <c r="L276" s="19">
        <v>16.8</v>
      </c>
      <c r="M276" s="9">
        <f t="shared" si="20"/>
        <v>11957.24</v>
      </c>
      <c r="N276" s="899">
        <v>0</v>
      </c>
      <c r="O276" s="900">
        <f t="shared" si="17"/>
        <v>2</v>
      </c>
      <c r="P276" s="901">
        <f t="shared" si="21"/>
        <v>23914.48</v>
      </c>
      <c r="Q276" s="873"/>
      <c r="R276" s="873"/>
      <c r="S276" s="840"/>
      <c r="T276" s="853"/>
    </row>
    <row r="277" spans="1:20" s="610" customFormat="1">
      <c r="A277" s="915" t="s">
        <v>2456</v>
      </c>
      <c r="B277" s="919"/>
      <c r="C277" s="913"/>
      <c r="D277" s="55" t="s">
        <v>607</v>
      </c>
      <c r="E277" s="820" t="s">
        <v>605</v>
      </c>
      <c r="F277" s="87"/>
      <c r="G277" s="206" t="s">
        <v>606</v>
      </c>
      <c r="H277" s="18" t="s">
        <v>246</v>
      </c>
      <c r="I277" s="36">
        <v>4</v>
      </c>
      <c r="J277" s="20">
        <v>3058.49</v>
      </c>
      <c r="K277" s="9">
        <f t="shared" si="19"/>
        <v>4006.6219000000001</v>
      </c>
      <c r="L277" s="19">
        <v>16.8</v>
      </c>
      <c r="M277" s="9">
        <f t="shared" si="20"/>
        <v>4679.7299999999996</v>
      </c>
      <c r="N277" s="899">
        <v>0</v>
      </c>
      <c r="O277" s="900">
        <f t="shared" si="17"/>
        <v>4</v>
      </c>
      <c r="P277" s="901">
        <f t="shared" si="21"/>
        <v>18718.919999999998</v>
      </c>
      <c r="Q277" s="873"/>
      <c r="R277" s="873"/>
      <c r="S277" s="840"/>
      <c r="T277" s="853"/>
    </row>
    <row r="278" spans="1:20" s="610" customFormat="1">
      <c r="A278" s="915" t="s">
        <v>2456</v>
      </c>
      <c r="B278" s="919"/>
      <c r="C278" s="913"/>
      <c r="D278" s="55" t="s">
        <v>604</v>
      </c>
      <c r="E278" s="820" t="s">
        <v>602</v>
      </c>
      <c r="F278" s="87"/>
      <c r="G278" s="206" t="s">
        <v>603</v>
      </c>
      <c r="H278" s="18" t="s">
        <v>246</v>
      </c>
      <c r="I278" s="36">
        <v>2</v>
      </c>
      <c r="J278" s="20">
        <v>403.21</v>
      </c>
      <c r="K278" s="9">
        <f t="shared" si="19"/>
        <v>528.20510000000002</v>
      </c>
      <c r="L278" s="19">
        <v>16.8</v>
      </c>
      <c r="M278" s="9">
        <f t="shared" si="20"/>
        <v>616.94000000000005</v>
      </c>
      <c r="N278" s="899">
        <v>0</v>
      </c>
      <c r="O278" s="900">
        <f t="shared" si="17"/>
        <v>2</v>
      </c>
      <c r="P278" s="901">
        <f t="shared" si="21"/>
        <v>1233.8800000000001</v>
      </c>
      <c r="Q278" s="873"/>
      <c r="R278" s="873"/>
      <c r="S278" s="840"/>
      <c r="T278" s="853"/>
    </row>
    <row r="279" spans="1:20" s="610" customFormat="1">
      <c r="A279" s="915" t="s">
        <v>2456</v>
      </c>
      <c r="B279" s="919"/>
      <c r="C279" s="913"/>
      <c r="D279" s="55" t="s">
        <v>601</v>
      </c>
      <c r="E279" s="820" t="s">
        <v>599</v>
      </c>
      <c r="F279" s="87"/>
      <c r="G279" s="206" t="s">
        <v>600</v>
      </c>
      <c r="H279" s="18" t="s">
        <v>246</v>
      </c>
      <c r="I279" s="36">
        <v>5</v>
      </c>
      <c r="J279" s="20">
        <v>3776.91</v>
      </c>
      <c r="K279" s="9">
        <f t="shared" si="19"/>
        <v>4947.7520999999997</v>
      </c>
      <c r="L279" s="19">
        <v>16.8</v>
      </c>
      <c r="M279" s="9">
        <f t="shared" si="20"/>
        <v>5778.97</v>
      </c>
      <c r="N279" s="899">
        <v>0</v>
      </c>
      <c r="O279" s="900">
        <f t="shared" si="17"/>
        <v>5</v>
      </c>
      <c r="P279" s="901">
        <f t="shared" si="21"/>
        <v>28894.85</v>
      </c>
      <c r="Q279" s="873"/>
      <c r="R279" s="873"/>
      <c r="S279" s="840"/>
      <c r="T279" s="853"/>
    </row>
    <row r="280" spans="1:20" s="610" customFormat="1">
      <c r="A280" s="915"/>
      <c r="B280" s="919"/>
      <c r="C280" s="913"/>
      <c r="D280" s="55" t="s">
        <v>598</v>
      </c>
      <c r="E280" s="820" t="s">
        <v>596</v>
      </c>
      <c r="F280" s="87"/>
      <c r="G280" s="206" t="s">
        <v>597</v>
      </c>
      <c r="H280" s="18" t="s">
        <v>246</v>
      </c>
      <c r="I280" s="36">
        <v>2</v>
      </c>
      <c r="J280" s="20">
        <v>940.15</v>
      </c>
      <c r="K280" s="9">
        <f t="shared" si="19"/>
        <v>1231.5965000000001</v>
      </c>
      <c r="L280" s="19">
        <v>16.8</v>
      </c>
      <c r="M280" s="9">
        <f t="shared" si="20"/>
        <v>1438.5</v>
      </c>
      <c r="N280" s="899">
        <v>0</v>
      </c>
      <c r="O280" s="900">
        <f t="shared" si="17"/>
        <v>2</v>
      </c>
      <c r="P280" s="901">
        <f t="shared" si="21"/>
        <v>2877</v>
      </c>
      <c r="Q280" s="873"/>
      <c r="R280" s="873"/>
      <c r="S280" s="840"/>
      <c r="T280" s="853"/>
    </row>
    <row r="281" spans="1:20" s="610" customFormat="1">
      <c r="A281" s="915"/>
      <c r="B281" s="919"/>
      <c r="C281" s="913"/>
      <c r="D281" s="55" t="s">
        <v>595</v>
      </c>
      <c r="E281" s="820" t="s">
        <v>593</v>
      </c>
      <c r="F281" s="87"/>
      <c r="G281" s="206" t="s">
        <v>594</v>
      </c>
      <c r="H281" s="18" t="s">
        <v>246</v>
      </c>
      <c r="I281" s="36">
        <v>4</v>
      </c>
      <c r="J281" s="20">
        <v>66.95</v>
      </c>
      <c r="K281" s="9">
        <f t="shared" si="19"/>
        <v>87.70450000000001</v>
      </c>
      <c r="L281" s="19">
        <v>16.8</v>
      </c>
      <c r="M281" s="9">
        <f t="shared" si="20"/>
        <v>102.44</v>
      </c>
      <c r="N281" s="899">
        <v>0</v>
      </c>
      <c r="O281" s="900">
        <f t="shared" si="17"/>
        <v>4</v>
      </c>
      <c r="P281" s="901">
        <f t="shared" si="21"/>
        <v>409.76</v>
      </c>
      <c r="Q281" s="873"/>
      <c r="R281" s="873"/>
      <c r="S281" s="840"/>
      <c r="T281" s="853"/>
    </row>
    <row r="282" spans="1:20" s="610" customFormat="1">
      <c r="A282" s="915"/>
      <c r="B282" s="919"/>
      <c r="C282" s="913"/>
      <c r="D282" s="55" t="s">
        <v>592</v>
      </c>
      <c r="E282" s="820" t="s">
        <v>590</v>
      </c>
      <c r="F282" s="87"/>
      <c r="G282" s="206" t="s">
        <v>591</v>
      </c>
      <c r="H282" s="18" t="s">
        <v>246</v>
      </c>
      <c r="I282" s="36">
        <v>2</v>
      </c>
      <c r="J282" s="20">
        <v>80.69</v>
      </c>
      <c r="K282" s="9">
        <f t="shared" si="19"/>
        <v>105.7039</v>
      </c>
      <c r="L282" s="19">
        <v>16.8</v>
      </c>
      <c r="M282" s="9">
        <f t="shared" si="20"/>
        <v>123.46</v>
      </c>
      <c r="N282" s="899">
        <v>0</v>
      </c>
      <c r="O282" s="900">
        <f t="shared" si="17"/>
        <v>2</v>
      </c>
      <c r="P282" s="901">
        <f t="shared" si="21"/>
        <v>246.92</v>
      </c>
      <c r="Q282" s="873"/>
      <c r="R282" s="873"/>
      <c r="S282" s="840"/>
      <c r="T282" s="853"/>
    </row>
    <row r="283" spans="1:20" s="610" customFormat="1">
      <c r="A283" s="915"/>
      <c r="B283" s="919"/>
      <c r="C283" s="913"/>
      <c r="D283" s="55" t="s">
        <v>589</v>
      </c>
      <c r="E283" s="820" t="s">
        <v>587</v>
      </c>
      <c r="F283" s="87"/>
      <c r="G283" s="206" t="s">
        <v>588</v>
      </c>
      <c r="H283" s="18" t="s">
        <v>246</v>
      </c>
      <c r="I283" s="36">
        <v>5</v>
      </c>
      <c r="J283" s="20">
        <v>248.8</v>
      </c>
      <c r="K283" s="9">
        <f t="shared" si="19"/>
        <v>325.92800000000005</v>
      </c>
      <c r="L283" s="19">
        <v>16.8</v>
      </c>
      <c r="M283" s="9">
        <f t="shared" si="20"/>
        <v>380.68</v>
      </c>
      <c r="N283" s="899">
        <v>0</v>
      </c>
      <c r="O283" s="900">
        <f t="shared" si="17"/>
        <v>5</v>
      </c>
      <c r="P283" s="901">
        <f t="shared" si="21"/>
        <v>1903.4</v>
      </c>
      <c r="Q283" s="873"/>
      <c r="R283" s="873"/>
      <c r="S283" s="840"/>
      <c r="T283" s="853"/>
    </row>
    <row r="284" spans="1:20" s="610" customFormat="1" ht="25.5">
      <c r="A284" s="915"/>
      <c r="B284" s="919"/>
      <c r="C284" s="913"/>
      <c r="D284" s="55" t="s">
        <v>586</v>
      </c>
      <c r="E284" s="820" t="s">
        <v>584</v>
      </c>
      <c r="F284" s="87"/>
      <c r="G284" s="206" t="s">
        <v>585</v>
      </c>
      <c r="H284" s="18" t="s">
        <v>326</v>
      </c>
      <c r="I284" s="36">
        <v>6</v>
      </c>
      <c r="J284" s="20">
        <v>47.56</v>
      </c>
      <c r="K284" s="9">
        <f t="shared" si="19"/>
        <v>62.303600000000003</v>
      </c>
      <c r="L284" s="19">
        <v>16.8</v>
      </c>
      <c r="M284" s="9">
        <f t="shared" si="20"/>
        <v>72.77</v>
      </c>
      <c r="N284" s="899">
        <v>0</v>
      </c>
      <c r="O284" s="900">
        <f t="shared" si="17"/>
        <v>6</v>
      </c>
      <c r="P284" s="901">
        <f t="shared" si="21"/>
        <v>436.62</v>
      </c>
      <c r="Q284" s="873"/>
      <c r="R284" s="873"/>
      <c r="S284" s="840"/>
      <c r="T284" s="853"/>
    </row>
    <row r="285" spans="1:20" s="610" customFormat="1" ht="25.5">
      <c r="A285" s="915"/>
      <c r="B285" s="919"/>
      <c r="C285" s="913"/>
      <c r="D285" s="55" t="s">
        <v>583</v>
      </c>
      <c r="E285" s="820" t="s">
        <v>581</v>
      </c>
      <c r="F285" s="87"/>
      <c r="G285" s="206" t="s">
        <v>582</v>
      </c>
      <c r="H285" s="18" t="s">
        <v>326</v>
      </c>
      <c r="I285" s="36">
        <v>13</v>
      </c>
      <c r="J285" s="20">
        <v>59.55</v>
      </c>
      <c r="K285" s="9">
        <f t="shared" si="19"/>
        <v>78.010499999999993</v>
      </c>
      <c r="L285" s="19">
        <v>16.8</v>
      </c>
      <c r="M285" s="9">
        <f t="shared" si="20"/>
        <v>91.12</v>
      </c>
      <c r="N285" s="899">
        <v>0</v>
      </c>
      <c r="O285" s="900">
        <f t="shared" si="17"/>
        <v>13</v>
      </c>
      <c r="P285" s="901">
        <f t="shared" si="21"/>
        <v>1184.56</v>
      </c>
      <c r="Q285" s="873"/>
      <c r="R285" s="873"/>
      <c r="S285" s="840"/>
      <c r="T285" s="853"/>
    </row>
    <row r="286" spans="1:20" s="610" customFormat="1" ht="25.5">
      <c r="A286" s="915"/>
      <c r="B286" s="919"/>
      <c r="C286" s="913"/>
      <c r="D286" s="55" t="s">
        <v>580</v>
      </c>
      <c r="E286" s="820" t="s">
        <v>578</v>
      </c>
      <c r="F286" s="87"/>
      <c r="G286" s="206" t="s">
        <v>579</v>
      </c>
      <c r="H286" s="18" t="s">
        <v>326</v>
      </c>
      <c r="I286" s="36">
        <v>24</v>
      </c>
      <c r="J286" s="20">
        <v>95.24</v>
      </c>
      <c r="K286" s="9">
        <f t="shared" si="19"/>
        <v>124.76439999999999</v>
      </c>
      <c r="L286" s="19">
        <v>16.8</v>
      </c>
      <c r="M286" s="9">
        <f t="shared" si="20"/>
        <v>145.72</v>
      </c>
      <c r="N286" s="899">
        <v>0</v>
      </c>
      <c r="O286" s="900">
        <f t="shared" si="17"/>
        <v>24</v>
      </c>
      <c r="P286" s="901">
        <f t="shared" si="21"/>
        <v>3497.28</v>
      </c>
      <c r="Q286" s="873"/>
      <c r="R286" s="873"/>
      <c r="S286" s="840"/>
      <c r="T286" s="853"/>
    </row>
    <row r="287" spans="1:20" s="610" customFormat="1" ht="25.5">
      <c r="A287" s="915" t="s">
        <v>2456</v>
      </c>
      <c r="B287" s="919"/>
      <c r="C287" s="913"/>
      <c r="D287" s="55" t="s">
        <v>577</v>
      </c>
      <c r="E287" s="820" t="s">
        <v>329</v>
      </c>
      <c r="F287" s="87"/>
      <c r="G287" s="206" t="s">
        <v>361</v>
      </c>
      <c r="H287" s="18" t="s">
        <v>326</v>
      </c>
      <c r="I287" s="36">
        <v>14</v>
      </c>
      <c r="J287" s="20">
        <v>378.23</v>
      </c>
      <c r="K287" s="9">
        <f t="shared" si="19"/>
        <v>495.48130000000003</v>
      </c>
      <c r="L287" s="19">
        <v>16.8</v>
      </c>
      <c r="M287" s="9">
        <f t="shared" si="20"/>
        <v>578.72</v>
      </c>
      <c r="N287" s="899">
        <v>0</v>
      </c>
      <c r="O287" s="900">
        <f t="shared" si="17"/>
        <v>14</v>
      </c>
      <c r="P287" s="901">
        <f t="shared" si="21"/>
        <v>8102.08</v>
      </c>
      <c r="Q287" s="873"/>
      <c r="R287" s="873"/>
      <c r="S287" s="840"/>
      <c r="T287" s="853"/>
    </row>
    <row r="288" spans="1:20" s="610" customFormat="1" ht="25.5">
      <c r="A288" s="915" t="s">
        <v>2456</v>
      </c>
      <c r="B288" s="919"/>
      <c r="C288" s="913"/>
      <c r="D288" s="55" t="s">
        <v>576</v>
      </c>
      <c r="E288" s="820" t="s">
        <v>359</v>
      </c>
      <c r="F288" s="87"/>
      <c r="G288" s="206" t="s">
        <v>360</v>
      </c>
      <c r="H288" s="18" t="s">
        <v>326</v>
      </c>
      <c r="I288" s="36">
        <v>17</v>
      </c>
      <c r="J288" s="20">
        <v>493.56</v>
      </c>
      <c r="K288" s="9">
        <f t="shared" si="19"/>
        <v>646.56360000000006</v>
      </c>
      <c r="L288" s="19">
        <v>16.8</v>
      </c>
      <c r="M288" s="9">
        <f t="shared" si="20"/>
        <v>755.19</v>
      </c>
      <c r="N288" s="899">
        <v>0</v>
      </c>
      <c r="O288" s="900">
        <f t="shared" si="17"/>
        <v>17</v>
      </c>
      <c r="P288" s="901">
        <f t="shared" si="21"/>
        <v>12838.23</v>
      </c>
      <c r="Q288" s="873"/>
      <c r="R288" s="873"/>
      <c r="S288" s="840"/>
      <c r="T288" s="853"/>
    </row>
    <row r="289" spans="1:20" s="610" customFormat="1" ht="25.5">
      <c r="A289" s="915" t="s">
        <v>2456</v>
      </c>
      <c r="B289" s="919"/>
      <c r="C289" s="913"/>
      <c r="D289" s="55" t="s">
        <v>575</v>
      </c>
      <c r="E289" s="820" t="s">
        <v>573</v>
      </c>
      <c r="F289" s="87"/>
      <c r="G289" s="206" t="s">
        <v>574</v>
      </c>
      <c r="H289" s="18" t="s">
        <v>326</v>
      </c>
      <c r="I289" s="36">
        <v>7</v>
      </c>
      <c r="J289" s="20">
        <v>579.5</v>
      </c>
      <c r="K289" s="9">
        <f t="shared" si="19"/>
        <v>759.14499999999998</v>
      </c>
      <c r="L289" s="19">
        <v>16.8</v>
      </c>
      <c r="M289" s="9">
        <f t="shared" si="20"/>
        <v>886.68</v>
      </c>
      <c r="N289" s="899">
        <v>0</v>
      </c>
      <c r="O289" s="900">
        <f t="shared" si="17"/>
        <v>7</v>
      </c>
      <c r="P289" s="901">
        <f t="shared" si="21"/>
        <v>6206.76</v>
      </c>
      <c r="Q289" s="873"/>
      <c r="R289" s="873"/>
      <c r="S289" s="840"/>
      <c r="T289" s="853"/>
    </row>
    <row r="290" spans="1:20" s="610" customFormat="1">
      <c r="A290" s="915"/>
      <c r="B290" s="919"/>
      <c r="C290" s="913"/>
      <c r="D290" s="55" t="s">
        <v>572</v>
      </c>
      <c r="E290" s="820" t="s">
        <v>570</v>
      </c>
      <c r="F290" s="87"/>
      <c r="G290" s="206" t="s">
        <v>571</v>
      </c>
      <c r="H290" s="18" t="s">
        <v>326</v>
      </c>
      <c r="I290" s="36">
        <v>4</v>
      </c>
      <c r="J290" s="20">
        <v>112.32</v>
      </c>
      <c r="K290" s="9">
        <f t="shared" si="19"/>
        <v>147.13919999999999</v>
      </c>
      <c r="L290" s="19">
        <v>16.8</v>
      </c>
      <c r="M290" s="9">
        <f t="shared" si="20"/>
        <v>171.86</v>
      </c>
      <c r="N290" s="899">
        <v>0</v>
      </c>
      <c r="O290" s="900">
        <f t="shared" si="17"/>
        <v>4</v>
      </c>
      <c r="P290" s="901">
        <f t="shared" si="21"/>
        <v>687.44</v>
      </c>
      <c r="Q290" s="873"/>
      <c r="R290" s="873"/>
      <c r="S290" s="840"/>
      <c r="T290" s="853"/>
    </row>
    <row r="291" spans="1:20" s="610" customFormat="1">
      <c r="A291" s="915" t="s">
        <v>2456</v>
      </c>
      <c r="B291" s="919"/>
      <c r="C291" s="913"/>
      <c r="D291" s="55" t="s">
        <v>569</v>
      </c>
      <c r="E291" s="820" t="s">
        <v>567</v>
      </c>
      <c r="F291" s="87"/>
      <c r="G291" s="206" t="s">
        <v>568</v>
      </c>
      <c r="H291" s="18" t="s">
        <v>326</v>
      </c>
      <c r="I291" s="36">
        <v>5</v>
      </c>
      <c r="J291" s="20">
        <v>260</v>
      </c>
      <c r="K291" s="9">
        <f t="shared" si="19"/>
        <v>340.6</v>
      </c>
      <c r="L291" s="19">
        <v>16.8</v>
      </c>
      <c r="M291" s="9">
        <f t="shared" si="20"/>
        <v>397.82</v>
      </c>
      <c r="N291" s="899">
        <v>0</v>
      </c>
      <c r="O291" s="900">
        <f t="shared" ref="O291:O354" si="22">I291-N291</f>
        <v>5</v>
      </c>
      <c r="P291" s="901">
        <f t="shared" si="21"/>
        <v>1989.1</v>
      </c>
      <c r="Q291" s="873"/>
      <c r="R291" s="873"/>
      <c r="S291" s="840"/>
      <c r="T291" s="853"/>
    </row>
    <row r="292" spans="1:20" s="610" customFormat="1">
      <c r="A292" s="915" t="s">
        <v>2456</v>
      </c>
      <c r="B292" s="919"/>
      <c r="C292" s="913"/>
      <c r="D292" s="55" t="s">
        <v>566</v>
      </c>
      <c r="E292" s="820" t="s">
        <v>564</v>
      </c>
      <c r="F292" s="87"/>
      <c r="G292" s="206" t="s">
        <v>565</v>
      </c>
      <c r="H292" s="18" t="s">
        <v>326</v>
      </c>
      <c r="I292" s="36">
        <v>8</v>
      </c>
      <c r="J292" s="20">
        <v>260</v>
      </c>
      <c r="K292" s="9">
        <f t="shared" si="19"/>
        <v>340.6</v>
      </c>
      <c r="L292" s="19">
        <v>16.8</v>
      </c>
      <c r="M292" s="9">
        <f t="shared" si="20"/>
        <v>397.82</v>
      </c>
      <c r="N292" s="899">
        <v>0</v>
      </c>
      <c r="O292" s="900">
        <f t="shared" si="22"/>
        <v>8</v>
      </c>
      <c r="P292" s="901">
        <f t="shared" si="21"/>
        <v>3182.56</v>
      </c>
      <c r="Q292" s="873"/>
      <c r="R292" s="873"/>
      <c r="S292" s="840"/>
      <c r="T292" s="853"/>
    </row>
    <row r="293" spans="1:20" s="610" customFormat="1">
      <c r="A293" s="915"/>
      <c r="B293" s="919"/>
      <c r="C293" s="913"/>
      <c r="D293" s="55" t="s">
        <v>563</v>
      </c>
      <c r="E293" s="820" t="s">
        <v>561</v>
      </c>
      <c r="F293" s="87"/>
      <c r="G293" s="206" t="s">
        <v>562</v>
      </c>
      <c r="H293" s="18" t="s">
        <v>246</v>
      </c>
      <c r="I293" s="36">
        <v>2</v>
      </c>
      <c r="J293" s="20">
        <v>77.09</v>
      </c>
      <c r="K293" s="9">
        <f t="shared" si="19"/>
        <v>100.98790000000001</v>
      </c>
      <c r="L293" s="19">
        <v>16.8</v>
      </c>
      <c r="M293" s="9">
        <f t="shared" si="20"/>
        <v>117.95</v>
      </c>
      <c r="N293" s="899">
        <v>0</v>
      </c>
      <c r="O293" s="900">
        <f t="shared" si="22"/>
        <v>2</v>
      </c>
      <c r="P293" s="901">
        <f t="shared" si="21"/>
        <v>235.9</v>
      </c>
      <c r="Q293" s="873"/>
      <c r="R293" s="873"/>
      <c r="S293" s="840"/>
      <c r="T293" s="853"/>
    </row>
    <row r="294" spans="1:20">
      <c r="D294" s="18" t="s">
        <v>560</v>
      </c>
      <c r="E294" s="56"/>
      <c r="F294" s="65"/>
      <c r="G294" s="206" t="s">
        <v>559</v>
      </c>
      <c r="H294" s="170"/>
      <c r="I294" s="36"/>
      <c r="J294" s="20"/>
      <c r="K294" s="20"/>
      <c r="L294" s="19"/>
      <c r="M294" s="9"/>
      <c r="N294" s="899"/>
      <c r="O294" s="900"/>
      <c r="P294" s="901"/>
      <c r="Q294" s="874"/>
      <c r="R294" s="874"/>
      <c r="S294" s="841"/>
      <c r="T294" s="854"/>
    </row>
    <row r="295" spans="1:20" s="885" customFormat="1">
      <c r="A295" s="915"/>
      <c r="B295" s="919"/>
      <c r="C295" s="913"/>
      <c r="D295" s="18" t="s">
        <v>558</v>
      </c>
      <c r="E295" s="820" t="s">
        <v>557</v>
      </c>
      <c r="F295" s="87"/>
      <c r="G295" s="206" t="s">
        <v>1992</v>
      </c>
      <c r="H295" s="18" t="s">
        <v>246</v>
      </c>
      <c r="I295" s="36">
        <v>17</v>
      </c>
      <c r="J295" s="20">
        <v>2304.5700000000002</v>
      </c>
      <c r="K295" s="9">
        <v>2600</v>
      </c>
      <c r="L295" s="19">
        <v>16.8</v>
      </c>
      <c r="M295" s="9">
        <f t="shared" si="20"/>
        <v>3036.8</v>
      </c>
      <c r="N295" s="899">
        <v>0</v>
      </c>
      <c r="O295" s="900">
        <f t="shared" si="22"/>
        <v>17</v>
      </c>
      <c r="P295" s="901">
        <f t="shared" si="21"/>
        <v>51625.599999999999</v>
      </c>
      <c r="Q295" s="882"/>
      <c r="R295" s="882" t="s">
        <v>2446</v>
      </c>
      <c r="S295" s="883"/>
      <c r="T295" s="884"/>
    </row>
    <row r="296" spans="1:20" s="885" customFormat="1">
      <c r="A296" s="915"/>
      <c r="B296" s="919"/>
      <c r="C296" s="913"/>
      <c r="D296" s="18" t="s">
        <v>556</v>
      </c>
      <c r="E296" s="820" t="s">
        <v>554</v>
      </c>
      <c r="F296" s="87"/>
      <c r="G296" s="206" t="s">
        <v>555</v>
      </c>
      <c r="H296" s="18" t="s">
        <v>246</v>
      </c>
      <c r="I296" s="36">
        <v>4</v>
      </c>
      <c r="J296" s="20">
        <v>5000</v>
      </c>
      <c r="K296" s="9">
        <v>5000</v>
      </c>
      <c r="L296" s="19">
        <v>16.8</v>
      </c>
      <c r="M296" s="9">
        <f t="shared" si="20"/>
        <v>5840</v>
      </c>
      <c r="N296" s="899">
        <v>0</v>
      </c>
      <c r="O296" s="900">
        <f t="shared" si="22"/>
        <v>4</v>
      </c>
      <c r="P296" s="901">
        <f t="shared" si="21"/>
        <v>23360</v>
      </c>
      <c r="Q296" s="882"/>
      <c r="R296" s="882" t="s">
        <v>2446</v>
      </c>
      <c r="S296" s="883"/>
      <c r="T296" s="884"/>
    </row>
    <row r="297" spans="1:20" s="837" customFormat="1" ht="25.5">
      <c r="A297" s="915"/>
      <c r="B297" s="919"/>
      <c r="C297" s="913"/>
      <c r="D297" s="18" t="s">
        <v>553</v>
      </c>
      <c r="E297" s="820" t="s">
        <v>551</v>
      </c>
      <c r="F297" s="87"/>
      <c r="G297" s="206" t="s">
        <v>552</v>
      </c>
      <c r="H297" s="18" t="s">
        <v>246</v>
      </c>
      <c r="I297" s="36">
        <v>4</v>
      </c>
      <c r="J297" s="20">
        <v>2673.42</v>
      </c>
      <c r="K297" s="9">
        <f>J297*$S$3</f>
        <v>3502.1802000000002</v>
      </c>
      <c r="L297" s="19">
        <v>16.8</v>
      </c>
      <c r="M297" s="9">
        <f t="shared" si="20"/>
        <v>4090.55</v>
      </c>
      <c r="N297" s="899">
        <v>0</v>
      </c>
      <c r="O297" s="900">
        <f t="shared" si="22"/>
        <v>4</v>
      </c>
      <c r="P297" s="901">
        <f t="shared" si="21"/>
        <v>16362.2</v>
      </c>
      <c r="Q297" s="877"/>
      <c r="R297" s="877"/>
      <c r="S297" s="845"/>
      <c r="T297" s="858"/>
    </row>
    <row r="298" spans="1:20">
      <c r="D298" s="18"/>
      <c r="E298" s="820"/>
      <c r="F298" s="87"/>
      <c r="G298" s="206"/>
      <c r="H298" s="18"/>
      <c r="I298" s="36"/>
      <c r="J298" s="20"/>
      <c r="K298" s="20"/>
      <c r="L298" s="19"/>
      <c r="M298" s="9"/>
      <c r="N298" s="899"/>
      <c r="O298" s="900"/>
      <c r="P298" s="901"/>
      <c r="Q298" s="874"/>
      <c r="R298" s="874"/>
      <c r="S298" s="841"/>
      <c r="T298" s="854"/>
    </row>
    <row r="299" spans="1:20">
      <c r="D299" s="18" t="s">
        <v>550</v>
      </c>
      <c r="E299" s="820"/>
      <c r="F299" s="87"/>
      <c r="G299" s="206" t="s">
        <v>549</v>
      </c>
      <c r="H299" s="18"/>
      <c r="I299" s="36"/>
      <c r="J299" s="20"/>
      <c r="K299" s="20"/>
      <c r="L299" s="19"/>
      <c r="M299" s="9"/>
      <c r="N299" s="899"/>
      <c r="O299" s="900"/>
      <c r="P299" s="901"/>
      <c r="Q299" s="874"/>
      <c r="R299" s="874"/>
      <c r="S299" s="841"/>
      <c r="T299" s="854"/>
    </row>
    <row r="300" spans="1:20" s="610" customFormat="1" ht="25.5">
      <c r="A300" s="915" t="s">
        <v>2456</v>
      </c>
      <c r="B300" s="919"/>
      <c r="C300" s="913"/>
      <c r="D300" s="18" t="s">
        <v>548</v>
      </c>
      <c r="E300" s="820" t="s">
        <v>546</v>
      </c>
      <c r="F300" s="87"/>
      <c r="G300" s="206" t="s">
        <v>547</v>
      </c>
      <c r="H300" s="18" t="s">
        <v>246</v>
      </c>
      <c r="I300" s="36">
        <v>1</v>
      </c>
      <c r="J300" s="20">
        <v>2861</v>
      </c>
      <c r="K300" s="9">
        <f t="shared" ref="K300:K308" si="23">J300*$S$3</f>
        <v>3747.9100000000003</v>
      </c>
      <c r="L300" s="19">
        <v>16.8</v>
      </c>
      <c r="M300" s="9">
        <f t="shared" si="20"/>
        <v>4377.5600000000004</v>
      </c>
      <c r="N300" s="899">
        <v>0</v>
      </c>
      <c r="O300" s="900">
        <f t="shared" si="22"/>
        <v>1</v>
      </c>
      <c r="P300" s="901">
        <f t="shared" si="21"/>
        <v>4377.5600000000004</v>
      </c>
      <c r="Q300" s="873"/>
      <c r="R300" s="873"/>
      <c r="S300" s="840"/>
      <c r="T300" s="853"/>
    </row>
    <row r="301" spans="1:20" s="610" customFormat="1" ht="25.5">
      <c r="A301" s="915" t="s">
        <v>2456</v>
      </c>
      <c r="B301" s="919"/>
      <c r="C301" s="913"/>
      <c r="D301" s="18" t="s">
        <v>545</v>
      </c>
      <c r="E301" s="820" t="s">
        <v>543</v>
      </c>
      <c r="F301" s="87"/>
      <c r="G301" s="206" t="s">
        <v>544</v>
      </c>
      <c r="H301" s="18" t="s">
        <v>246</v>
      </c>
      <c r="I301" s="36">
        <v>1</v>
      </c>
      <c r="J301" s="20">
        <v>594</v>
      </c>
      <c r="K301" s="9">
        <f t="shared" si="23"/>
        <v>778.14</v>
      </c>
      <c r="L301" s="19">
        <v>16.8</v>
      </c>
      <c r="M301" s="9">
        <f t="shared" si="20"/>
        <v>908.87</v>
      </c>
      <c r="N301" s="899">
        <v>0</v>
      </c>
      <c r="O301" s="900">
        <f t="shared" si="22"/>
        <v>1</v>
      </c>
      <c r="P301" s="901">
        <f t="shared" si="21"/>
        <v>908.87</v>
      </c>
      <c r="Q301" s="873"/>
      <c r="R301" s="873"/>
      <c r="S301" s="840"/>
      <c r="T301" s="853"/>
    </row>
    <row r="302" spans="1:20" s="610" customFormat="1" ht="25.5">
      <c r="A302" s="915"/>
      <c r="B302" s="919"/>
      <c r="C302" s="913"/>
      <c r="D302" s="18" t="s">
        <v>540</v>
      </c>
      <c r="E302" s="820" t="s">
        <v>541</v>
      </c>
      <c r="F302" s="87"/>
      <c r="G302" s="206" t="s">
        <v>542</v>
      </c>
      <c r="H302" s="18" t="s">
        <v>110</v>
      </c>
      <c r="I302" s="36">
        <v>24</v>
      </c>
      <c r="J302" s="20">
        <v>474</v>
      </c>
      <c r="K302" s="9">
        <f t="shared" si="23"/>
        <v>620.94000000000005</v>
      </c>
      <c r="L302" s="19">
        <v>16.8</v>
      </c>
      <c r="M302" s="9">
        <f t="shared" si="20"/>
        <v>725.26</v>
      </c>
      <c r="N302" s="899">
        <v>0</v>
      </c>
      <c r="O302" s="900">
        <f t="shared" si="22"/>
        <v>24</v>
      </c>
      <c r="P302" s="901">
        <f t="shared" si="21"/>
        <v>17406.240000000002</v>
      </c>
      <c r="Q302" s="873"/>
      <c r="R302" s="873"/>
      <c r="S302" s="840"/>
      <c r="T302" s="853"/>
    </row>
    <row r="303" spans="1:20" s="610" customFormat="1" ht="25.5">
      <c r="A303" s="915"/>
      <c r="B303" s="919"/>
      <c r="C303" s="913"/>
      <c r="D303" s="18" t="s">
        <v>539</v>
      </c>
      <c r="E303" s="820" t="s">
        <v>537</v>
      </c>
      <c r="F303" s="87"/>
      <c r="G303" s="206" t="s">
        <v>538</v>
      </c>
      <c r="H303" s="18" t="s">
        <v>246</v>
      </c>
      <c r="I303" s="36">
        <v>2</v>
      </c>
      <c r="J303" s="20">
        <v>403</v>
      </c>
      <c r="K303" s="9">
        <f t="shared" si="23"/>
        <v>527.93000000000006</v>
      </c>
      <c r="L303" s="19">
        <v>16.8</v>
      </c>
      <c r="M303" s="9">
        <f t="shared" si="20"/>
        <v>616.62</v>
      </c>
      <c r="N303" s="899">
        <v>0</v>
      </c>
      <c r="O303" s="900">
        <f t="shared" si="22"/>
        <v>2</v>
      </c>
      <c r="P303" s="901">
        <f t="shared" si="21"/>
        <v>1233.24</v>
      </c>
      <c r="Q303" s="873"/>
      <c r="R303" s="873"/>
      <c r="S303" s="840"/>
      <c r="T303" s="853"/>
    </row>
    <row r="304" spans="1:20" s="610" customFormat="1" ht="25.5">
      <c r="A304" s="915"/>
      <c r="B304" s="919"/>
      <c r="C304" s="913"/>
      <c r="D304" s="18" t="s">
        <v>536</v>
      </c>
      <c r="E304" s="820" t="s">
        <v>534</v>
      </c>
      <c r="F304" s="87"/>
      <c r="G304" s="206" t="s">
        <v>535</v>
      </c>
      <c r="H304" s="18" t="s">
        <v>246</v>
      </c>
      <c r="I304" s="36">
        <v>2</v>
      </c>
      <c r="J304" s="20">
        <v>331</v>
      </c>
      <c r="K304" s="9">
        <f t="shared" si="23"/>
        <v>433.61</v>
      </c>
      <c r="L304" s="19">
        <v>16.8</v>
      </c>
      <c r="M304" s="9">
        <f t="shared" si="20"/>
        <v>506.46</v>
      </c>
      <c r="N304" s="899">
        <v>0</v>
      </c>
      <c r="O304" s="900">
        <f t="shared" si="22"/>
        <v>2</v>
      </c>
      <c r="P304" s="901">
        <f t="shared" si="21"/>
        <v>1012.92</v>
      </c>
      <c r="Q304" s="873"/>
      <c r="R304" s="873"/>
      <c r="S304" s="840"/>
      <c r="T304" s="853"/>
    </row>
    <row r="305" spans="1:20" s="610" customFormat="1" ht="25.5">
      <c r="A305" s="915" t="s">
        <v>2456</v>
      </c>
      <c r="B305" s="919"/>
      <c r="C305" s="913"/>
      <c r="D305" s="18" t="s">
        <v>533</v>
      </c>
      <c r="E305" s="820" t="s">
        <v>531</v>
      </c>
      <c r="F305" s="87"/>
      <c r="G305" s="206" t="s">
        <v>532</v>
      </c>
      <c r="H305" s="18" t="s">
        <v>246</v>
      </c>
      <c r="I305" s="36">
        <v>1</v>
      </c>
      <c r="J305" s="20">
        <v>18925.14</v>
      </c>
      <c r="K305" s="9">
        <f t="shared" si="23"/>
        <v>24791.933400000002</v>
      </c>
      <c r="L305" s="19">
        <v>16.8</v>
      </c>
      <c r="M305" s="9">
        <f t="shared" si="20"/>
        <v>28956.98</v>
      </c>
      <c r="N305" s="899">
        <v>0</v>
      </c>
      <c r="O305" s="900">
        <f t="shared" si="22"/>
        <v>1</v>
      </c>
      <c r="P305" s="901">
        <f t="shared" si="21"/>
        <v>28956.98</v>
      </c>
      <c r="Q305" s="873"/>
      <c r="R305" s="873"/>
      <c r="S305" s="840"/>
      <c r="T305" s="853"/>
    </row>
    <row r="306" spans="1:20" s="610" customFormat="1" ht="25.5">
      <c r="A306" s="915" t="s">
        <v>2456</v>
      </c>
      <c r="B306" s="919"/>
      <c r="C306" s="913"/>
      <c r="D306" s="18" t="s">
        <v>530</v>
      </c>
      <c r="E306" s="820" t="s">
        <v>528</v>
      </c>
      <c r="F306" s="87"/>
      <c r="G306" s="206" t="s">
        <v>529</v>
      </c>
      <c r="H306" s="18" t="s">
        <v>246</v>
      </c>
      <c r="I306" s="36">
        <v>1</v>
      </c>
      <c r="J306" s="20">
        <v>1273</v>
      </c>
      <c r="K306" s="9">
        <f t="shared" si="23"/>
        <v>1667.63</v>
      </c>
      <c r="L306" s="19">
        <v>16.8</v>
      </c>
      <c r="M306" s="9">
        <f t="shared" si="20"/>
        <v>1947.79</v>
      </c>
      <c r="N306" s="899">
        <v>0</v>
      </c>
      <c r="O306" s="900">
        <f t="shared" si="22"/>
        <v>1</v>
      </c>
      <c r="P306" s="901">
        <f t="shared" si="21"/>
        <v>1947.79</v>
      </c>
      <c r="Q306" s="873"/>
      <c r="R306" s="873"/>
      <c r="S306" s="840"/>
      <c r="T306" s="853"/>
    </row>
    <row r="307" spans="1:20" s="610" customFormat="1" ht="25.5">
      <c r="A307" s="915" t="s">
        <v>2456</v>
      </c>
      <c r="B307" s="919"/>
      <c r="C307" s="913"/>
      <c r="D307" s="18" t="s">
        <v>527</v>
      </c>
      <c r="E307" s="832" t="s">
        <v>1878</v>
      </c>
      <c r="F307" s="217"/>
      <c r="G307" s="206" t="s">
        <v>526</v>
      </c>
      <c r="H307" s="18" t="s">
        <v>246</v>
      </c>
      <c r="I307" s="36">
        <v>2</v>
      </c>
      <c r="J307" s="20">
        <v>2800</v>
      </c>
      <c r="K307" s="9">
        <f t="shared" si="23"/>
        <v>3668</v>
      </c>
      <c r="L307" s="19">
        <v>16.8</v>
      </c>
      <c r="M307" s="9">
        <f t="shared" si="20"/>
        <v>4284.22</v>
      </c>
      <c r="N307" s="899">
        <v>0</v>
      </c>
      <c r="O307" s="900">
        <f t="shared" si="22"/>
        <v>2</v>
      </c>
      <c r="P307" s="901">
        <f t="shared" si="21"/>
        <v>8568.44</v>
      </c>
      <c r="Q307" s="873"/>
      <c r="R307" s="873"/>
      <c r="S307" s="840"/>
      <c r="T307" s="853"/>
    </row>
    <row r="308" spans="1:20" s="800" customFormat="1" ht="25.5">
      <c r="A308" s="915"/>
      <c r="B308" s="919"/>
      <c r="C308" s="913"/>
      <c r="D308" s="18" t="s">
        <v>525</v>
      </c>
      <c r="E308" s="830" t="s">
        <v>2019</v>
      </c>
      <c r="F308" s="83"/>
      <c r="G308" s="206" t="s">
        <v>524</v>
      </c>
      <c r="H308" s="18" t="s">
        <v>246</v>
      </c>
      <c r="I308" s="36">
        <v>16</v>
      </c>
      <c r="J308" s="20">
        <v>28.19</v>
      </c>
      <c r="K308" s="9">
        <f t="shared" si="23"/>
        <v>36.928900000000006</v>
      </c>
      <c r="L308" s="19">
        <v>16.8</v>
      </c>
      <c r="M308" s="9">
        <f t="shared" si="20"/>
        <v>43.13</v>
      </c>
      <c r="N308" s="899">
        <v>0</v>
      </c>
      <c r="O308" s="900">
        <f t="shared" si="22"/>
        <v>16</v>
      </c>
      <c r="P308" s="901">
        <f t="shared" si="21"/>
        <v>690.08</v>
      </c>
      <c r="Q308" s="875"/>
      <c r="R308" s="875"/>
      <c r="S308" s="844"/>
      <c r="T308" s="857"/>
    </row>
    <row r="309" spans="1:20">
      <c r="D309" s="18" t="s">
        <v>523</v>
      </c>
      <c r="E309" s="56"/>
      <c r="F309" s="65"/>
      <c r="G309" s="206" t="s">
        <v>522</v>
      </c>
      <c r="H309" s="18"/>
      <c r="I309" s="36"/>
      <c r="J309" s="20"/>
      <c r="K309" s="20"/>
      <c r="L309" s="19"/>
      <c r="M309" s="9"/>
      <c r="N309" s="899"/>
      <c r="O309" s="900"/>
      <c r="P309" s="901"/>
      <c r="Q309" s="874"/>
      <c r="R309" s="874"/>
      <c r="S309" s="841"/>
      <c r="T309" s="854"/>
    </row>
    <row r="310" spans="1:20" s="610" customFormat="1" ht="25.5">
      <c r="A310" s="915" t="s">
        <v>2456</v>
      </c>
      <c r="B310" s="919"/>
      <c r="C310" s="913"/>
      <c r="D310" s="18" t="s">
        <v>521</v>
      </c>
      <c r="E310" s="820" t="s">
        <v>519</v>
      </c>
      <c r="F310" s="87"/>
      <c r="G310" s="206" t="s">
        <v>520</v>
      </c>
      <c r="H310" s="18" t="s">
        <v>246</v>
      </c>
      <c r="I310" s="36">
        <v>1</v>
      </c>
      <c r="J310" s="20">
        <v>2279</v>
      </c>
      <c r="K310" s="9">
        <f t="shared" ref="K310:K315" si="24">J310*$S$3</f>
        <v>2985.4900000000002</v>
      </c>
      <c r="L310" s="19">
        <v>16.8</v>
      </c>
      <c r="M310" s="9">
        <f t="shared" si="20"/>
        <v>3487.05</v>
      </c>
      <c r="N310" s="899">
        <v>0</v>
      </c>
      <c r="O310" s="900">
        <f t="shared" si="22"/>
        <v>1</v>
      </c>
      <c r="P310" s="901">
        <f t="shared" si="21"/>
        <v>3487.05</v>
      </c>
      <c r="Q310" s="873"/>
      <c r="R310" s="873"/>
      <c r="S310" s="840"/>
      <c r="T310" s="853"/>
    </row>
    <row r="311" spans="1:20" s="610" customFormat="1" ht="25.5">
      <c r="A311" s="915"/>
      <c r="B311" s="919"/>
      <c r="C311" s="913"/>
      <c r="D311" s="18" t="s">
        <v>516</v>
      </c>
      <c r="E311" s="820" t="s">
        <v>517</v>
      </c>
      <c r="F311" s="87"/>
      <c r="G311" s="206" t="s">
        <v>518</v>
      </c>
      <c r="H311" s="18" t="s">
        <v>246</v>
      </c>
      <c r="I311" s="36">
        <v>4</v>
      </c>
      <c r="J311" s="20">
        <v>77.34</v>
      </c>
      <c r="K311" s="9">
        <f t="shared" si="24"/>
        <v>101.31540000000001</v>
      </c>
      <c r="L311" s="19">
        <v>16.8</v>
      </c>
      <c r="M311" s="9">
        <f t="shared" si="20"/>
        <v>118.34</v>
      </c>
      <c r="N311" s="899">
        <v>0</v>
      </c>
      <c r="O311" s="900">
        <f t="shared" si="22"/>
        <v>4</v>
      </c>
      <c r="P311" s="901">
        <f t="shared" si="21"/>
        <v>473.36</v>
      </c>
      <c r="Q311" s="873"/>
      <c r="R311" s="873"/>
      <c r="S311" s="840"/>
      <c r="T311" s="853"/>
    </row>
    <row r="312" spans="1:20" s="610" customFormat="1" ht="25.5">
      <c r="A312" s="915"/>
      <c r="B312" s="919"/>
      <c r="C312" s="913"/>
      <c r="D312" s="18" t="s">
        <v>515</v>
      </c>
      <c r="E312" s="820" t="s">
        <v>513</v>
      </c>
      <c r="F312" s="87"/>
      <c r="G312" s="206" t="s">
        <v>514</v>
      </c>
      <c r="H312" s="18" t="s">
        <v>246</v>
      </c>
      <c r="I312" s="36">
        <v>4</v>
      </c>
      <c r="J312" s="20">
        <v>75</v>
      </c>
      <c r="K312" s="9">
        <f t="shared" si="24"/>
        <v>98.25</v>
      </c>
      <c r="L312" s="19">
        <v>16.8</v>
      </c>
      <c r="M312" s="9">
        <f t="shared" si="20"/>
        <v>114.76</v>
      </c>
      <c r="N312" s="899">
        <v>0</v>
      </c>
      <c r="O312" s="900">
        <f t="shared" si="22"/>
        <v>4</v>
      </c>
      <c r="P312" s="901">
        <f t="shared" si="21"/>
        <v>459.04</v>
      </c>
      <c r="Q312" s="873"/>
      <c r="R312" s="873"/>
      <c r="S312" s="840"/>
      <c r="T312" s="853"/>
    </row>
    <row r="313" spans="1:20" s="610" customFormat="1" ht="25.5">
      <c r="A313" s="915"/>
      <c r="B313" s="919"/>
      <c r="C313" s="913"/>
      <c r="D313" s="18" t="s">
        <v>512</v>
      </c>
      <c r="E313" s="820" t="s">
        <v>510</v>
      </c>
      <c r="F313" s="87"/>
      <c r="G313" s="206" t="s">
        <v>511</v>
      </c>
      <c r="H313" s="18" t="s">
        <v>246</v>
      </c>
      <c r="I313" s="36">
        <v>16</v>
      </c>
      <c r="J313" s="20">
        <v>113.77</v>
      </c>
      <c r="K313" s="9">
        <f t="shared" si="24"/>
        <v>149.03870000000001</v>
      </c>
      <c r="L313" s="19">
        <v>16.8</v>
      </c>
      <c r="M313" s="9">
        <f t="shared" si="20"/>
        <v>174.08</v>
      </c>
      <c r="N313" s="899">
        <v>0</v>
      </c>
      <c r="O313" s="900">
        <f t="shared" si="22"/>
        <v>16</v>
      </c>
      <c r="P313" s="901">
        <f t="shared" si="21"/>
        <v>2785.28</v>
      </c>
      <c r="Q313" s="873"/>
      <c r="R313" s="873"/>
      <c r="S313" s="840"/>
      <c r="T313" s="853"/>
    </row>
    <row r="314" spans="1:20" s="610" customFormat="1">
      <c r="A314" s="915"/>
      <c r="B314" s="919"/>
      <c r="C314" s="913"/>
      <c r="D314" s="18" t="s">
        <v>509</v>
      </c>
      <c r="E314" s="820" t="s">
        <v>507</v>
      </c>
      <c r="F314" s="87"/>
      <c r="G314" s="206" t="s">
        <v>508</v>
      </c>
      <c r="H314" s="18" t="s">
        <v>246</v>
      </c>
      <c r="I314" s="36">
        <v>32</v>
      </c>
      <c r="J314" s="20">
        <v>36.42</v>
      </c>
      <c r="K314" s="9">
        <f t="shared" si="24"/>
        <v>47.710200000000007</v>
      </c>
      <c r="L314" s="19">
        <v>16.8</v>
      </c>
      <c r="M314" s="9">
        <f t="shared" si="20"/>
        <v>55.73</v>
      </c>
      <c r="N314" s="899">
        <v>0</v>
      </c>
      <c r="O314" s="900">
        <f t="shared" si="22"/>
        <v>32</v>
      </c>
      <c r="P314" s="901">
        <f t="shared" si="21"/>
        <v>1783.36</v>
      </c>
      <c r="Q314" s="873"/>
      <c r="R314" s="873"/>
      <c r="S314" s="840"/>
      <c r="T314" s="853"/>
    </row>
    <row r="315" spans="1:20" s="610" customFormat="1">
      <c r="A315" s="915"/>
      <c r="B315" s="919"/>
      <c r="C315" s="913"/>
      <c r="D315" s="18" t="s">
        <v>498</v>
      </c>
      <c r="E315" s="820" t="s">
        <v>505</v>
      </c>
      <c r="F315" s="87"/>
      <c r="G315" s="206" t="s">
        <v>506</v>
      </c>
      <c r="H315" s="18" t="s">
        <v>246</v>
      </c>
      <c r="I315" s="36">
        <v>4</v>
      </c>
      <c r="J315" s="20">
        <v>20.5</v>
      </c>
      <c r="K315" s="9">
        <f t="shared" si="24"/>
        <v>26.855</v>
      </c>
      <c r="L315" s="19">
        <v>16.8</v>
      </c>
      <c r="M315" s="9">
        <f t="shared" si="20"/>
        <v>31.37</v>
      </c>
      <c r="N315" s="899">
        <v>0</v>
      </c>
      <c r="O315" s="900">
        <f t="shared" si="22"/>
        <v>4</v>
      </c>
      <c r="P315" s="901">
        <f t="shared" si="21"/>
        <v>125.48</v>
      </c>
      <c r="Q315" s="873"/>
      <c r="R315" s="873"/>
      <c r="S315" s="840"/>
      <c r="T315" s="853"/>
    </row>
    <row r="316" spans="1:20">
      <c r="D316" s="18"/>
      <c r="E316" s="820"/>
      <c r="F316" s="87"/>
      <c r="G316" s="206"/>
      <c r="H316" s="18"/>
      <c r="I316" s="36"/>
      <c r="J316" s="20"/>
      <c r="K316" s="20"/>
      <c r="L316" s="19"/>
      <c r="M316" s="9"/>
      <c r="N316" s="899"/>
      <c r="O316" s="900"/>
      <c r="P316" s="901"/>
      <c r="Q316" s="874"/>
      <c r="R316" s="874"/>
      <c r="S316" s="841"/>
      <c r="T316" s="854"/>
    </row>
    <row r="317" spans="1:20" s="610" customFormat="1">
      <c r="A317" s="915" t="s">
        <v>2456</v>
      </c>
      <c r="B317" s="919"/>
      <c r="C317" s="913"/>
      <c r="D317" s="18" t="s">
        <v>504</v>
      </c>
      <c r="E317" s="820" t="s">
        <v>502</v>
      </c>
      <c r="F317" s="87"/>
      <c r="G317" s="206" t="s">
        <v>503</v>
      </c>
      <c r="H317" s="18" t="s">
        <v>246</v>
      </c>
      <c r="I317" s="36">
        <v>1</v>
      </c>
      <c r="J317" s="20">
        <v>875.7</v>
      </c>
      <c r="K317" s="9">
        <f t="shared" ref="K317:K323" si="25">J317*$S$3</f>
        <v>1147.1670000000001</v>
      </c>
      <c r="L317" s="19">
        <v>16.8</v>
      </c>
      <c r="M317" s="9">
        <f t="shared" si="20"/>
        <v>1339.89</v>
      </c>
      <c r="N317" s="899">
        <v>0</v>
      </c>
      <c r="O317" s="900">
        <f t="shared" si="22"/>
        <v>1</v>
      </c>
      <c r="P317" s="901">
        <f t="shared" si="21"/>
        <v>1339.89</v>
      </c>
      <c r="Q317" s="873"/>
      <c r="R317" s="873"/>
      <c r="S317" s="840"/>
      <c r="T317" s="853"/>
    </row>
    <row r="318" spans="1:20" s="610" customFormat="1" ht="25.5">
      <c r="A318" s="915" t="s">
        <v>2456</v>
      </c>
      <c r="B318" s="919"/>
      <c r="C318" s="913"/>
      <c r="D318" s="18" t="s">
        <v>501</v>
      </c>
      <c r="E318" s="820" t="s">
        <v>499</v>
      </c>
      <c r="F318" s="87"/>
      <c r="G318" s="206" t="s">
        <v>500</v>
      </c>
      <c r="H318" s="18" t="s">
        <v>246</v>
      </c>
      <c r="I318" s="36">
        <v>1</v>
      </c>
      <c r="J318" s="20">
        <v>1381.94</v>
      </c>
      <c r="K318" s="9">
        <f t="shared" si="25"/>
        <v>1810.3414000000002</v>
      </c>
      <c r="L318" s="19">
        <v>16.8</v>
      </c>
      <c r="M318" s="9">
        <f t="shared" si="20"/>
        <v>2114.48</v>
      </c>
      <c r="N318" s="899">
        <v>0</v>
      </c>
      <c r="O318" s="900">
        <f t="shared" si="22"/>
        <v>1</v>
      </c>
      <c r="P318" s="901">
        <f t="shared" si="21"/>
        <v>2114.48</v>
      </c>
      <c r="Q318" s="873"/>
      <c r="R318" s="873"/>
      <c r="S318" s="840"/>
      <c r="T318" s="853"/>
    </row>
    <row r="319" spans="1:20" s="610" customFormat="1">
      <c r="A319" s="915" t="s">
        <v>2456</v>
      </c>
      <c r="B319" s="919"/>
      <c r="C319" s="913"/>
      <c r="D319" s="18" t="s">
        <v>497</v>
      </c>
      <c r="E319" s="820" t="s">
        <v>495</v>
      </c>
      <c r="F319" s="87"/>
      <c r="G319" s="206" t="s">
        <v>496</v>
      </c>
      <c r="H319" s="18" t="s">
        <v>246</v>
      </c>
      <c r="I319" s="36">
        <v>1</v>
      </c>
      <c r="J319" s="20">
        <v>461.16</v>
      </c>
      <c r="K319" s="9">
        <f t="shared" si="25"/>
        <v>604.1196000000001</v>
      </c>
      <c r="L319" s="19">
        <v>16.8</v>
      </c>
      <c r="M319" s="9">
        <f t="shared" si="20"/>
        <v>705.61</v>
      </c>
      <c r="N319" s="899">
        <v>0</v>
      </c>
      <c r="O319" s="900">
        <f t="shared" si="22"/>
        <v>1</v>
      </c>
      <c r="P319" s="901">
        <f t="shared" si="21"/>
        <v>705.61</v>
      </c>
      <c r="Q319" s="873"/>
      <c r="R319" s="873"/>
      <c r="S319" s="840"/>
      <c r="T319" s="853"/>
    </row>
    <row r="320" spans="1:20" s="610" customFormat="1" ht="25.5">
      <c r="A320" s="915" t="s">
        <v>2456</v>
      </c>
      <c r="B320" s="919"/>
      <c r="C320" s="913"/>
      <c r="D320" s="18" t="s">
        <v>494</v>
      </c>
      <c r="E320" s="832" t="s">
        <v>1879</v>
      </c>
      <c r="F320" s="217"/>
      <c r="G320" s="206" t="s">
        <v>493</v>
      </c>
      <c r="H320" s="18" t="s">
        <v>246</v>
      </c>
      <c r="I320" s="36">
        <v>1</v>
      </c>
      <c r="J320" s="20">
        <v>2500</v>
      </c>
      <c r="K320" s="9">
        <f t="shared" si="25"/>
        <v>3275</v>
      </c>
      <c r="L320" s="19">
        <v>16.8</v>
      </c>
      <c r="M320" s="9">
        <f t="shared" si="20"/>
        <v>3825.2</v>
      </c>
      <c r="N320" s="899">
        <v>0</v>
      </c>
      <c r="O320" s="900">
        <f t="shared" si="22"/>
        <v>1</v>
      </c>
      <c r="P320" s="901">
        <f t="shared" si="21"/>
        <v>3825.2</v>
      </c>
      <c r="Q320" s="873"/>
      <c r="R320" s="873"/>
      <c r="S320" s="840"/>
      <c r="T320" s="853"/>
    </row>
    <row r="321" spans="1:20" s="610" customFormat="1" ht="25.5">
      <c r="A321" s="915" t="s">
        <v>2456</v>
      </c>
      <c r="B321" s="919"/>
      <c r="C321" s="913"/>
      <c r="D321" s="18" t="s">
        <v>492</v>
      </c>
      <c r="E321" s="820" t="s">
        <v>490</v>
      </c>
      <c r="F321" s="87"/>
      <c r="G321" s="206" t="s">
        <v>491</v>
      </c>
      <c r="H321" s="18" t="s">
        <v>246</v>
      </c>
      <c r="I321" s="36">
        <v>2</v>
      </c>
      <c r="J321" s="20">
        <v>648.9</v>
      </c>
      <c r="K321" s="9">
        <f t="shared" si="25"/>
        <v>850.05899999999997</v>
      </c>
      <c r="L321" s="19">
        <v>16.8</v>
      </c>
      <c r="M321" s="9">
        <f t="shared" si="20"/>
        <v>992.87</v>
      </c>
      <c r="N321" s="899">
        <v>0</v>
      </c>
      <c r="O321" s="900">
        <f t="shared" si="22"/>
        <v>2</v>
      </c>
      <c r="P321" s="901">
        <f t="shared" si="21"/>
        <v>1985.74</v>
      </c>
      <c r="Q321" s="873"/>
      <c r="R321" s="873"/>
      <c r="S321" s="840"/>
      <c r="T321" s="853"/>
    </row>
    <row r="322" spans="1:20" s="610" customFormat="1" ht="25.5">
      <c r="A322" s="915" t="s">
        <v>2456</v>
      </c>
      <c r="B322" s="919"/>
      <c r="C322" s="913"/>
      <c r="D322" s="18" t="s">
        <v>489</v>
      </c>
      <c r="E322" s="820" t="s">
        <v>487</v>
      </c>
      <c r="F322" s="87"/>
      <c r="G322" s="206" t="s">
        <v>488</v>
      </c>
      <c r="H322" s="18" t="s">
        <v>246</v>
      </c>
      <c r="I322" s="36">
        <v>1</v>
      </c>
      <c r="J322" s="20">
        <v>1123.95</v>
      </c>
      <c r="K322" s="9">
        <f t="shared" si="25"/>
        <v>1472.3745000000001</v>
      </c>
      <c r="L322" s="19">
        <v>16.8</v>
      </c>
      <c r="M322" s="9">
        <f t="shared" si="20"/>
        <v>1719.73</v>
      </c>
      <c r="N322" s="899">
        <v>0</v>
      </c>
      <c r="O322" s="900">
        <f t="shared" si="22"/>
        <v>1</v>
      </c>
      <c r="P322" s="901">
        <f t="shared" si="21"/>
        <v>1719.73</v>
      </c>
      <c r="Q322" s="873"/>
      <c r="R322" s="873"/>
      <c r="S322" s="840"/>
      <c r="T322" s="853"/>
    </row>
    <row r="323" spans="1:20" s="610" customFormat="1" ht="25.5">
      <c r="A323" s="915" t="s">
        <v>2456</v>
      </c>
      <c r="B323" s="919"/>
      <c r="C323" s="913"/>
      <c r="D323" s="18" t="s">
        <v>486</v>
      </c>
      <c r="E323" s="820" t="s">
        <v>484</v>
      </c>
      <c r="F323" s="87"/>
      <c r="G323" s="206" t="s">
        <v>485</v>
      </c>
      <c r="H323" s="18" t="s">
        <v>246</v>
      </c>
      <c r="I323" s="36">
        <v>1</v>
      </c>
      <c r="J323" s="20">
        <v>518</v>
      </c>
      <c r="K323" s="9">
        <f t="shared" si="25"/>
        <v>678.58</v>
      </c>
      <c r="L323" s="19">
        <v>16.8</v>
      </c>
      <c r="M323" s="9">
        <f t="shared" si="20"/>
        <v>792.58</v>
      </c>
      <c r="N323" s="899">
        <v>0</v>
      </c>
      <c r="O323" s="900">
        <f t="shared" si="22"/>
        <v>1</v>
      </c>
      <c r="P323" s="901">
        <f t="shared" si="21"/>
        <v>792.58</v>
      </c>
      <c r="Q323" s="873"/>
      <c r="R323" s="873"/>
      <c r="S323" s="840"/>
      <c r="T323" s="853"/>
    </row>
    <row r="324" spans="1:20">
      <c r="D324" s="18" t="s">
        <v>483</v>
      </c>
      <c r="E324" s="56"/>
      <c r="F324" s="65"/>
      <c r="G324" s="206" t="s">
        <v>482</v>
      </c>
      <c r="H324" s="170"/>
      <c r="I324" s="36"/>
      <c r="J324" s="20"/>
      <c r="K324" s="20"/>
      <c r="L324" s="19"/>
      <c r="M324" s="9"/>
      <c r="N324" s="899"/>
      <c r="O324" s="900"/>
      <c r="P324" s="901"/>
      <c r="Q324" s="874"/>
      <c r="R324" s="874"/>
      <c r="S324" s="841"/>
      <c r="T324" s="854"/>
    </row>
    <row r="325" spans="1:20" s="610" customFormat="1">
      <c r="A325" s="915"/>
      <c r="B325" s="919"/>
      <c r="C325" s="913"/>
      <c r="D325" s="18" t="s">
        <v>481</v>
      </c>
      <c r="E325" s="820" t="s">
        <v>479</v>
      </c>
      <c r="F325" s="87"/>
      <c r="G325" s="206" t="s">
        <v>480</v>
      </c>
      <c r="H325" s="18" t="s">
        <v>246</v>
      </c>
      <c r="I325" s="36">
        <v>4</v>
      </c>
      <c r="J325" s="20">
        <v>945.81</v>
      </c>
      <c r="K325" s="9">
        <f t="shared" ref="K325:K331" si="26">J325*$S$3</f>
        <v>1239.0110999999999</v>
      </c>
      <c r="L325" s="19">
        <v>16.8</v>
      </c>
      <c r="M325" s="9">
        <f t="shared" si="20"/>
        <v>1447.16</v>
      </c>
      <c r="N325" s="899">
        <v>0</v>
      </c>
      <c r="O325" s="900">
        <f t="shared" si="22"/>
        <v>4</v>
      </c>
      <c r="P325" s="901">
        <f t="shared" si="21"/>
        <v>5788.64</v>
      </c>
      <c r="Q325" s="873"/>
      <c r="R325" s="873"/>
      <c r="S325" s="840"/>
      <c r="T325" s="853"/>
    </row>
    <row r="326" spans="1:20" s="610" customFormat="1">
      <c r="A326" s="915"/>
      <c r="B326" s="919"/>
      <c r="C326" s="913"/>
      <c r="D326" s="18" t="s">
        <v>478</v>
      </c>
      <c r="E326" s="820" t="s">
        <v>476</v>
      </c>
      <c r="F326" s="87"/>
      <c r="G326" s="206" t="s">
        <v>477</v>
      </c>
      <c r="H326" s="18" t="s">
        <v>246</v>
      </c>
      <c r="I326" s="36">
        <v>2</v>
      </c>
      <c r="J326" s="20">
        <v>945.81</v>
      </c>
      <c r="K326" s="9">
        <f t="shared" si="26"/>
        <v>1239.0110999999999</v>
      </c>
      <c r="L326" s="19">
        <v>16.8</v>
      </c>
      <c r="M326" s="9">
        <f t="shared" si="20"/>
        <v>1447.16</v>
      </c>
      <c r="N326" s="899">
        <v>0</v>
      </c>
      <c r="O326" s="900">
        <f t="shared" si="22"/>
        <v>2</v>
      </c>
      <c r="P326" s="901">
        <f t="shared" si="21"/>
        <v>2894.32</v>
      </c>
      <c r="Q326" s="873"/>
      <c r="R326" s="873"/>
      <c r="S326" s="840"/>
      <c r="T326" s="853"/>
    </row>
    <row r="327" spans="1:20" s="610" customFormat="1">
      <c r="A327" s="915"/>
      <c r="B327" s="919"/>
      <c r="C327" s="913"/>
      <c r="D327" s="18" t="s">
        <v>475</v>
      </c>
      <c r="E327" s="820" t="s">
        <v>473</v>
      </c>
      <c r="F327" s="87"/>
      <c r="G327" s="206" t="s">
        <v>474</v>
      </c>
      <c r="H327" s="18" t="s">
        <v>246</v>
      </c>
      <c r="I327" s="36">
        <v>2</v>
      </c>
      <c r="J327" s="20">
        <v>1134.97</v>
      </c>
      <c r="K327" s="9">
        <f t="shared" si="26"/>
        <v>1486.8107</v>
      </c>
      <c r="L327" s="19">
        <v>16.8</v>
      </c>
      <c r="M327" s="9">
        <f t="shared" si="20"/>
        <v>1736.59</v>
      </c>
      <c r="N327" s="899">
        <v>0</v>
      </c>
      <c r="O327" s="900">
        <f t="shared" si="22"/>
        <v>2</v>
      </c>
      <c r="P327" s="901">
        <f t="shared" si="21"/>
        <v>3473.18</v>
      </c>
      <c r="Q327" s="873"/>
      <c r="R327" s="873"/>
      <c r="S327" s="840"/>
      <c r="T327" s="853"/>
    </row>
    <row r="328" spans="1:20" s="610" customFormat="1">
      <c r="A328" s="915"/>
      <c r="B328" s="919"/>
      <c r="C328" s="913"/>
      <c r="D328" s="18" t="s">
        <v>472</v>
      </c>
      <c r="E328" s="820" t="s">
        <v>470</v>
      </c>
      <c r="F328" s="87"/>
      <c r="G328" s="206" t="s">
        <v>471</v>
      </c>
      <c r="H328" s="18" t="s">
        <v>246</v>
      </c>
      <c r="I328" s="36">
        <v>8</v>
      </c>
      <c r="J328" s="20">
        <v>1970.34</v>
      </c>
      <c r="K328" s="9">
        <f t="shared" si="26"/>
        <v>2581.1453999999999</v>
      </c>
      <c r="L328" s="19">
        <v>16.8</v>
      </c>
      <c r="M328" s="9">
        <f t="shared" si="20"/>
        <v>3014.78</v>
      </c>
      <c r="N328" s="899">
        <v>0</v>
      </c>
      <c r="O328" s="900">
        <f t="shared" si="22"/>
        <v>8</v>
      </c>
      <c r="P328" s="901">
        <f t="shared" si="21"/>
        <v>24118.240000000002</v>
      </c>
      <c r="Q328" s="873"/>
      <c r="R328" s="873"/>
      <c r="S328" s="840"/>
      <c r="T328" s="853"/>
    </row>
    <row r="329" spans="1:20" s="610" customFormat="1">
      <c r="A329" s="915"/>
      <c r="B329" s="919"/>
      <c r="C329" s="913"/>
      <c r="D329" s="18" t="s">
        <v>469</v>
      </c>
      <c r="E329" s="832" t="s">
        <v>1877</v>
      </c>
      <c r="F329" s="217"/>
      <c r="G329" s="206" t="s">
        <v>468</v>
      </c>
      <c r="H329" s="18" t="s">
        <v>246</v>
      </c>
      <c r="I329" s="36">
        <v>2</v>
      </c>
      <c r="J329" s="20">
        <v>560</v>
      </c>
      <c r="K329" s="9">
        <f t="shared" si="26"/>
        <v>733.6</v>
      </c>
      <c r="L329" s="19">
        <v>16.8</v>
      </c>
      <c r="M329" s="9">
        <f t="shared" si="20"/>
        <v>856.84</v>
      </c>
      <c r="N329" s="899">
        <v>0</v>
      </c>
      <c r="O329" s="900">
        <f t="shared" si="22"/>
        <v>2</v>
      </c>
      <c r="P329" s="901">
        <f t="shared" si="21"/>
        <v>1713.68</v>
      </c>
      <c r="Q329" s="873"/>
      <c r="R329" s="873"/>
      <c r="S329" s="840"/>
      <c r="T329" s="853"/>
    </row>
    <row r="330" spans="1:20" s="610" customFormat="1">
      <c r="A330" s="915"/>
      <c r="B330" s="919"/>
      <c r="C330" s="913"/>
      <c r="D330" s="18" t="s">
        <v>467</v>
      </c>
      <c r="E330" s="820" t="s">
        <v>465</v>
      </c>
      <c r="F330" s="87"/>
      <c r="G330" s="206" t="s">
        <v>466</v>
      </c>
      <c r="H330" s="18" t="s">
        <v>246</v>
      </c>
      <c r="I330" s="36">
        <v>2</v>
      </c>
      <c r="J330" s="20">
        <v>1477.76</v>
      </c>
      <c r="K330" s="9">
        <f t="shared" si="26"/>
        <v>1935.8656000000001</v>
      </c>
      <c r="L330" s="19">
        <v>16.8</v>
      </c>
      <c r="M330" s="9">
        <f t="shared" si="20"/>
        <v>2261.09</v>
      </c>
      <c r="N330" s="899">
        <v>0</v>
      </c>
      <c r="O330" s="900">
        <f t="shared" si="22"/>
        <v>2</v>
      </c>
      <c r="P330" s="901">
        <f t="shared" si="21"/>
        <v>4522.18</v>
      </c>
      <c r="Q330" s="873"/>
      <c r="R330" s="873"/>
      <c r="S330" s="840"/>
      <c r="T330" s="853"/>
    </row>
    <row r="331" spans="1:20" s="610" customFormat="1">
      <c r="A331" s="915"/>
      <c r="B331" s="919"/>
      <c r="C331" s="913"/>
      <c r="D331" s="18" t="s">
        <v>464</v>
      </c>
      <c r="E331" s="820" t="s">
        <v>462</v>
      </c>
      <c r="F331" s="87"/>
      <c r="G331" s="206" t="s">
        <v>463</v>
      </c>
      <c r="H331" s="18" t="s">
        <v>246</v>
      </c>
      <c r="I331" s="36">
        <v>1</v>
      </c>
      <c r="J331" s="20">
        <v>1724.05</v>
      </c>
      <c r="K331" s="9">
        <f t="shared" si="26"/>
        <v>2258.5055000000002</v>
      </c>
      <c r="L331" s="19">
        <v>16.8</v>
      </c>
      <c r="M331" s="9">
        <f t="shared" si="20"/>
        <v>2637.93</v>
      </c>
      <c r="N331" s="899">
        <v>0</v>
      </c>
      <c r="O331" s="900">
        <f t="shared" si="22"/>
        <v>1</v>
      </c>
      <c r="P331" s="901">
        <f t="shared" si="21"/>
        <v>2637.93</v>
      </c>
      <c r="Q331" s="873"/>
      <c r="R331" s="873"/>
      <c r="S331" s="840"/>
      <c r="T331" s="853"/>
    </row>
    <row r="332" spans="1:20">
      <c r="D332" s="18" t="s">
        <v>461</v>
      </c>
      <c r="E332" s="56"/>
      <c r="F332" s="65"/>
      <c r="G332" s="206" t="s">
        <v>460</v>
      </c>
      <c r="H332" s="170"/>
      <c r="I332" s="36"/>
      <c r="J332" s="20"/>
      <c r="K332" s="20"/>
      <c r="L332" s="19"/>
      <c r="M332" s="9"/>
      <c r="N332" s="899"/>
      <c r="O332" s="900"/>
      <c r="P332" s="901"/>
      <c r="Q332" s="874"/>
      <c r="R332" s="874"/>
      <c r="S332" s="841"/>
      <c r="T332" s="854"/>
    </row>
    <row r="333" spans="1:20" s="610" customFormat="1">
      <c r="A333" s="915"/>
      <c r="B333" s="919"/>
      <c r="C333" s="913"/>
      <c r="D333" s="18" t="s">
        <v>459</v>
      </c>
      <c r="E333" s="832" t="s">
        <v>1880</v>
      </c>
      <c r="F333" s="217"/>
      <c r="G333" s="206" t="s">
        <v>458</v>
      </c>
      <c r="H333" s="18" t="s">
        <v>326</v>
      </c>
      <c r="I333" s="36">
        <v>4</v>
      </c>
      <c r="J333" s="20">
        <v>524.51</v>
      </c>
      <c r="K333" s="9">
        <f>J333*$S$3</f>
        <v>687.10810000000004</v>
      </c>
      <c r="L333" s="19">
        <v>16.8</v>
      </c>
      <c r="M333" s="9">
        <f t="shared" si="20"/>
        <v>802.54</v>
      </c>
      <c r="N333" s="899">
        <v>0</v>
      </c>
      <c r="O333" s="900">
        <f t="shared" si="22"/>
        <v>4</v>
      </c>
      <c r="P333" s="901">
        <f t="shared" si="21"/>
        <v>3210.16</v>
      </c>
      <c r="Q333" s="873"/>
      <c r="R333" s="873"/>
      <c r="S333" s="840"/>
      <c r="T333" s="853"/>
    </row>
    <row r="334" spans="1:20" s="610" customFormat="1">
      <c r="A334" s="915"/>
      <c r="B334" s="919"/>
      <c r="C334" s="913"/>
      <c r="D334" s="18" t="s">
        <v>457</v>
      </c>
      <c r="E334" s="820" t="s">
        <v>362</v>
      </c>
      <c r="F334" s="87"/>
      <c r="G334" s="206" t="s">
        <v>456</v>
      </c>
      <c r="H334" s="18" t="s">
        <v>110</v>
      </c>
      <c r="I334" s="36">
        <v>295.42</v>
      </c>
      <c r="J334" s="20">
        <v>213.12</v>
      </c>
      <c r="K334" s="9">
        <f>J334*$S$3</f>
        <v>279.18720000000002</v>
      </c>
      <c r="L334" s="19">
        <v>16.8</v>
      </c>
      <c r="M334" s="9">
        <f t="shared" si="20"/>
        <v>326.08999999999997</v>
      </c>
      <c r="N334" s="899">
        <v>0</v>
      </c>
      <c r="O334" s="900">
        <f t="shared" si="22"/>
        <v>295.42</v>
      </c>
      <c r="P334" s="901">
        <f t="shared" si="21"/>
        <v>96333.51</v>
      </c>
      <c r="Q334" s="873"/>
      <c r="R334" s="873"/>
      <c r="S334" s="840"/>
      <c r="T334" s="853"/>
    </row>
    <row r="335" spans="1:20">
      <c r="D335" s="18" t="s">
        <v>455</v>
      </c>
      <c r="E335" s="56"/>
      <c r="F335" s="65"/>
      <c r="G335" s="206" t="s">
        <v>454</v>
      </c>
      <c r="H335" s="18"/>
      <c r="I335" s="36"/>
      <c r="J335" s="20"/>
      <c r="K335" s="20"/>
      <c r="L335" s="19"/>
      <c r="M335" s="9"/>
      <c r="N335" s="899"/>
      <c r="O335" s="900"/>
      <c r="P335" s="901"/>
      <c r="Q335" s="874"/>
      <c r="R335" s="874"/>
      <c r="S335" s="841"/>
      <c r="T335" s="854"/>
    </row>
    <row r="336" spans="1:20" s="885" customFormat="1">
      <c r="A336" s="915"/>
      <c r="B336" s="919"/>
      <c r="C336" s="913"/>
      <c r="D336" s="18" t="s">
        <v>453</v>
      </c>
      <c r="E336" s="820" t="s">
        <v>451</v>
      </c>
      <c r="F336" s="87"/>
      <c r="G336" s="206" t="s">
        <v>452</v>
      </c>
      <c r="H336" s="18" t="s">
        <v>326</v>
      </c>
      <c r="I336" s="36">
        <v>1</v>
      </c>
      <c r="J336" s="20">
        <v>4800</v>
      </c>
      <c r="K336" s="20">
        <v>5500</v>
      </c>
      <c r="L336" s="19">
        <v>16.8</v>
      </c>
      <c r="M336" s="9">
        <f t="shared" si="20"/>
        <v>6424</v>
      </c>
      <c r="N336" s="899">
        <v>0</v>
      </c>
      <c r="O336" s="900">
        <f t="shared" si="22"/>
        <v>1</v>
      </c>
      <c r="P336" s="901">
        <f t="shared" si="21"/>
        <v>6424</v>
      </c>
      <c r="Q336" s="882">
        <v>233</v>
      </c>
      <c r="R336" s="882" t="s">
        <v>2417</v>
      </c>
      <c r="S336" s="883"/>
      <c r="T336" s="884"/>
    </row>
    <row r="337" spans="1:20" s="885" customFormat="1" ht="25.5">
      <c r="A337" s="915"/>
      <c r="B337" s="919"/>
      <c r="C337" s="913"/>
      <c r="D337" s="218" t="s">
        <v>450</v>
      </c>
      <c r="E337" s="820" t="s">
        <v>448</v>
      </c>
      <c r="F337" s="87"/>
      <c r="G337" s="206" t="s">
        <v>449</v>
      </c>
      <c r="H337" s="18" t="s">
        <v>326</v>
      </c>
      <c r="I337" s="36">
        <v>1</v>
      </c>
      <c r="J337" s="20">
        <v>3200</v>
      </c>
      <c r="K337" s="20">
        <v>4200</v>
      </c>
      <c r="L337" s="19">
        <v>16.8</v>
      </c>
      <c r="M337" s="9">
        <f t="shared" ref="M337:M400" si="27">ROUND(K337*(L337/100+1),2)</f>
        <v>4905.6000000000004</v>
      </c>
      <c r="N337" s="899">
        <v>0</v>
      </c>
      <c r="O337" s="900">
        <f t="shared" si="22"/>
        <v>1</v>
      </c>
      <c r="P337" s="901">
        <f t="shared" ref="P337:P400" si="28">ROUND(O337*M337,2)</f>
        <v>4905.6000000000004</v>
      </c>
      <c r="Q337" s="882">
        <v>233</v>
      </c>
      <c r="R337" s="882" t="s">
        <v>2417</v>
      </c>
      <c r="S337" s="883"/>
      <c r="T337" s="884"/>
    </row>
    <row r="338" spans="1:20" s="885" customFormat="1" ht="25.5">
      <c r="A338" s="915"/>
      <c r="B338" s="919"/>
      <c r="C338" s="913"/>
      <c r="D338" s="218" t="s">
        <v>447</v>
      </c>
      <c r="E338" s="820" t="s">
        <v>445</v>
      </c>
      <c r="F338" s="87"/>
      <c r="G338" s="206" t="s">
        <v>446</v>
      </c>
      <c r="H338" s="18" t="s">
        <v>326</v>
      </c>
      <c r="I338" s="36">
        <v>1</v>
      </c>
      <c r="J338" s="20">
        <v>16499</v>
      </c>
      <c r="K338" s="20">
        <v>18135</v>
      </c>
      <c r="L338" s="19">
        <v>16.8</v>
      </c>
      <c r="M338" s="9">
        <f t="shared" si="27"/>
        <v>21181.68</v>
      </c>
      <c r="N338" s="899">
        <v>0</v>
      </c>
      <c r="O338" s="900">
        <f t="shared" si="22"/>
        <v>1</v>
      </c>
      <c r="P338" s="901">
        <f t="shared" si="28"/>
        <v>21181.68</v>
      </c>
      <c r="Q338" s="882">
        <v>233</v>
      </c>
      <c r="R338" s="882" t="s">
        <v>2417</v>
      </c>
      <c r="S338" s="883"/>
      <c r="T338" s="884"/>
    </row>
    <row r="339" spans="1:20">
      <c r="D339" s="218"/>
      <c r="E339" s="820"/>
      <c r="F339" s="63"/>
      <c r="G339" s="206"/>
      <c r="H339" s="18"/>
      <c r="I339" s="36"/>
      <c r="J339" s="20"/>
      <c r="K339" s="20"/>
      <c r="L339" s="20"/>
      <c r="M339" s="9"/>
      <c r="N339" s="926"/>
      <c r="O339" s="900"/>
      <c r="P339" s="901"/>
      <c r="Q339" s="874"/>
      <c r="R339" s="874"/>
      <c r="S339" s="841"/>
      <c r="T339" s="854"/>
    </row>
    <row r="340" spans="1:20">
      <c r="D340" s="218"/>
      <c r="E340" s="820"/>
      <c r="F340" s="63"/>
      <c r="G340" s="56"/>
      <c r="H340" s="18"/>
      <c r="I340" s="36"/>
      <c r="J340" s="20"/>
      <c r="K340" s="20"/>
      <c r="L340" s="20"/>
      <c r="M340" s="9"/>
      <c r="N340" s="936"/>
      <c r="O340" s="900"/>
      <c r="P340" s="901"/>
      <c r="Q340" s="874"/>
      <c r="R340" s="874"/>
      <c r="S340" s="841"/>
      <c r="T340" s="854"/>
    </row>
    <row r="341" spans="1:20">
      <c r="D341" s="218"/>
      <c r="E341" s="820"/>
      <c r="F341" s="63"/>
      <c r="G341" s="56"/>
      <c r="H341" s="18"/>
      <c r="I341" s="36"/>
      <c r="J341" s="20"/>
      <c r="K341" s="20"/>
      <c r="L341" s="20"/>
      <c r="M341" s="9"/>
      <c r="N341" s="926"/>
      <c r="O341" s="900"/>
      <c r="P341" s="901"/>
      <c r="Q341" s="874"/>
      <c r="R341" s="874"/>
      <c r="S341" s="841"/>
      <c r="T341" s="854"/>
    </row>
    <row r="342" spans="1:20">
      <c r="D342" s="218">
        <v>4</v>
      </c>
      <c r="E342" s="820"/>
      <c r="F342" s="63"/>
      <c r="G342" s="63" t="s">
        <v>444</v>
      </c>
      <c r="H342" s="18"/>
      <c r="I342" s="36"/>
      <c r="J342" s="20"/>
      <c r="K342" s="20"/>
      <c r="L342" s="20"/>
      <c r="M342" s="9"/>
      <c r="N342" s="926"/>
      <c r="O342" s="900"/>
      <c r="P342" s="901"/>
      <c r="Q342" s="874"/>
      <c r="R342" s="874"/>
      <c r="S342" s="841"/>
      <c r="T342" s="854"/>
    </row>
    <row r="343" spans="1:20" s="344" customFormat="1" ht="25.5">
      <c r="A343" s="915"/>
      <c r="B343" s="919"/>
      <c r="C343" s="913"/>
      <c r="D343" s="218" t="s">
        <v>139</v>
      </c>
      <c r="E343" s="805">
        <f>'[3]Plan Tron'!B230</f>
        <v>9833</v>
      </c>
      <c r="F343" s="805" t="str">
        <f>'[3]Plan Tron'!C230</f>
        <v>SINAPI (INSUMO)</v>
      </c>
      <c r="G343" s="643" t="str">
        <f>'[3]Plan Tron'!D230</f>
        <v>TUBO PVC, FLEXIVEL, CORRUGADO, PERFURADO, DN 110 MM, PARA DRENAGEM, SISTEMA IRRIGACAO</v>
      </c>
      <c r="H343" s="805" t="str">
        <f>'[3]Plan Tron'!E230</f>
        <v>M</v>
      </c>
      <c r="I343" s="36">
        <f>ROUND(102,2)</f>
        <v>102</v>
      </c>
      <c r="J343" s="20">
        <f>ROUND(36.54,2)</f>
        <v>36.54</v>
      </c>
      <c r="K343" s="20">
        <f>'[3]Plan Tron'!F230</f>
        <v>7.85</v>
      </c>
      <c r="L343" s="19">
        <v>16.8</v>
      </c>
      <c r="M343" s="9">
        <f t="shared" si="27"/>
        <v>9.17</v>
      </c>
      <c r="N343" s="899">
        <v>0</v>
      </c>
      <c r="O343" s="900">
        <f t="shared" si="22"/>
        <v>102</v>
      </c>
      <c r="P343" s="901">
        <f t="shared" si="28"/>
        <v>935.34</v>
      </c>
      <c r="Q343" s="874"/>
      <c r="R343" s="874"/>
      <c r="S343" s="841"/>
      <c r="T343" s="854"/>
    </row>
    <row r="344" spans="1:20">
      <c r="D344" s="218"/>
      <c r="E344" s="820"/>
      <c r="F344" s="63"/>
      <c r="G344" s="56"/>
      <c r="H344" s="18"/>
      <c r="I344" s="36"/>
      <c r="J344" s="20"/>
      <c r="K344" s="20"/>
      <c r="L344" s="20"/>
      <c r="M344" s="9"/>
      <c r="N344" s="926"/>
      <c r="O344" s="900"/>
      <c r="P344" s="901"/>
      <c r="Q344" s="874"/>
      <c r="R344" s="874"/>
      <c r="S344" s="841"/>
      <c r="T344" s="854"/>
    </row>
    <row r="345" spans="1:20">
      <c r="D345" s="218"/>
      <c r="E345" s="820"/>
      <c r="F345" s="63"/>
      <c r="G345" s="56"/>
      <c r="H345" s="18"/>
      <c r="I345" s="36"/>
      <c r="J345" s="20"/>
      <c r="K345" s="20"/>
      <c r="L345" s="20"/>
      <c r="M345" s="9"/>
      <c r="N345" s="936"/>
      <c r="O345" s="900"/>
      <c r="P345" s="901"/>
      <c r="Q345" s="874"/>
      <c r="R345" s="874"/>
      <c r="S345" s="841"/>
      <c r="T345" s="854"/>
    </row>
    <row r="346" spans="1:20" s="299" customFormat="1">
      <c r="A346" s="918"/>
      <c r="B346" s="922"/>
      <c r="C346" s="924"/>
      <c r="D346" s="929"/>
      <c r="E346" s="930"/>
      <c r="F346" s="929"/>
      <c r="G346" s="930" t="s">
        <v>70</v>
      </c>
      <c r="H346" s="929">
        <f>D180</f>
        <v>13</v>
      </c>
      <c r="I346" s="929"/>
      <c r="J346" s="929"/>
      <c r="K346" s="929"/>
      <c r="L346" s="929"/>
      <c r="M346" s="9"/>
      <c r="N346" s="937"/>
      <c r="O346" s="900"/>
      <c r="P346" s="901">
        <f>SUM(P187:P343)</f>
        <v>1433074.7200000002</v>
      </c>
      <c r="Q346" s="874"/>
      <c r="R346" s="874"/>
      <c r="S346" s="841"/>
      <c r="T346" s="854"/>
    </row>
    <row r="347" spans="1:20">
      <c r="D347" s="384"/>
      <c r="E347" s="931"/>
      <c r="F347" s="384"/>
      <c r="G347" s="384"/>
      <c r="H347" s="384"/>
      <c r="I347" s="384"/>
      <c r="J347" s="384"/>
      <c r="K347" s="384"/>
      <c r="L347" s="384"/>
      <c r="M347" s="9"/>
      <c r="N347" s="926"/>
      <c r="O347" s="900"/>
      <c r="P347" s="901"/>
      <c r="Q347" s="874"/>
      <c r="R347" s="874"/>
      <c r="S347" s="841"/>
      <c r="T347" s="854"/>
    </row>
    <row r="348" spans="1:20" s="310" customFormat="1">
      <c r="A348" s="915"/>
      <c r="B348" s="919"/>
      <c r="C348" s="913"/>
      <c r="D348" s="108" t="s">
        <v>65</v>
      </c>
      <c r="E348" s="813"/>
      <c r="F348" s="109"/>
      <c r="G348" s="108" t="s">
        <v>1994</v>
      </c>
      <c r="H348" s="109"/>
      <c r="I348" s="109"/>
      <c r="J348" s="109"/>
      <c r="K348" s="109"/>
      <c r="L348" s="109"/>
      <c r="M348" s="791"/>
      <c r="N348" s="378"/>
      <c r="O348" s="792"/>
      <c r="P348" s="864"/>
      <c r="Q348" s="872"/>
      <c r="R348" s="872"/>
      <c r="S348" s="842"/>
      <c r="T348" s="852"/>
    </row>
    <row r="349" spans="1:20">
      <c r="D349" s="384"/>
      <c r="E349" s="931"/>
      <c r="F349" s="384"/>
      <c r="G349" s="384"/>
      <c r="H349" s="384"/>
      <c r="I349" s="384"/>
      <c r="J349" s="384"/>
      <c r="K349" s="384"/>
      <c r="L349" s="384"/>
      <c r="M349" s="9"/>
      <c r="N349" s="926"/>
      <c r="O349" s="900"/>
      <c r="P349" s="901"/>
      <c r="Q349" s="874"/>
      <c r="R349" s="874"/>
      <c r="S349" s="841"/>
      <c r="T349" s="854"/>
    </row>
    <row r="350" spans="1:20" ht="25.5">
      <c r="D350" s="45"/>
      <c r="E350" s="57"/>
      <c r="F350" s="50"/>
      <c r="G350" s="46" t="s">
        <v>791</v>
      </c>
      <c r="H350" s="47"/>
      <c r="I350" s="48"/>
      <c r="J350" s="9"/>
      <c r="K350" s="9"/>
      <c r="L350" s="9"/>
      <c r="M350" s="9"/>
      <c r="N350" s="926"/>
      <c r="O350" s="900"/>
      <c r="P350" s="901"/>
      <c r="Q350" s="874"/>
      <c r="R350" s="874"/>
      <c r="S350" s="841"/>
      <c r="T350" s="854"/>
    </row>
    <row r="351" spans="1:20">
      <c r="D351" s="45"/>
      <c r="E351" s="57"/>
      <c r="F351" s="50"/>
      <c r="G351" s="46"/>
      <c r="H351" s="47"/>
      <c r="I351" s="48"/>
      <c r="J351" s="9"/>
      <c r="K351" s="9"/>
      <c r="L351" s="9"/>
      <c r="M351" s="9"/>
      <c r="N351" s="926"/>
      <c r="O351" s="900"/>
      <c r="P351" s="901"/>
      <c r="Q351" s="874"/>
      <c r="R351" s="874"/>
      <c r="S351" s="841"/>
      <c r="T351" s="854"/>
    </row>
    <row r="352" spans="1:20">
      <c r="D352" s="45">
        <v>1</v>
      </c>
      <c r="E352" s="57"/>
      <c r="F352" s="50"/>
      <c r="G352" s="46" t="s">
        <v>790</v>
      </c>
      <c r="H352" s="47"/>
      <c r="I352" s="48"/>
      <c r="J352" s="9"/>
      <c r="K352" s="9"/>
      <c r="L352" s="9"/>
      <c r="M352" s="9"/>
      <c r="N352" s="926"/>
      <c r="O352" s="900"/>
      <c r="P352" s="901"/>
      <c r="Q352" s="874"/>
      <c r="R352" s="874"/>
      <c r="S352" s="841"/>
      <c r="T352" s="854"/>
    </row>
    <row r="353" spans="1:20">
      <c r="D353" s="49" t="s">
        <v>20</v>
      </c>
      <c r="E353" s="345"/>
      <c r="F353" s="11"/>
      <c r="G353" s="12" t="s">
        <v>789</v>
      </c>
      <c r="H353" s="47"/>
      <c r="I353" s="27"/>
      <c r="J353" s="9"/>
      <c r="K353" s="9"/>
      <c r="L353" s="9"/>
      <c r="M353" s="9"/>
      <c r="N353" s="926"/>
      <c r="O353" s="900"/>
      <c r="P353" s="901"/>
      <c r="Q353" s="874"/>
      <c r="R353" s="874"/>
      <c r="S353" s="841"/>
      <c r="T353" s="854"/>
    </row>
    <row r="354" spans="1:20" s="610" customFormat="1" ht="51">
      <c r="A354" s="915"/>
      <c r="B354" s="919"/>
      <c r="C354" s="913" t="s">
        <v>2458</v>
      </c>
      <c r="D354" s="49" t="s">
        <v>153</v>
      </c>
      <c r="E354" s="57" t="s">
        <v>787</v>
      </c>
      <c r="F354" s="50"/>
      <c r="G354" s="12" t="s">
        <v>788</v>
      </c>
      <c r="H354" s="7" t="s">
        <v>326</v>
      </c>
      <c r="I354" s="27">
        <v>1</v>
      </c>
      <c r="J354" s="9">
        <v>33213.050000000003</v>
      </c>
      <c r="K354" s="9">
        <f>J354*$S$3</f>
        <v>43509.095500000003</v>
      </c>
      <c r="L354" s="9">
        <v>16.8</v>
      </c>
      <c r="M354" s="9">
        <f t="shared" si="27"/>
        <v>50818.62</v>
      </c>
      <c r="N354" s="899">
        <v>0</v>
      </c>
      <c r="O354" s="900">
        <f t="shared" si="22"/>
        <v>1</v>
      </c>
      <c r="P354" s="901">
        <f t="shared" si="28"/>
        <v>50818.62</v>
      </c>
      <c r="Q354" s="873"/>
      <c r="R354" s="873"/>
      <c r="S354" s="840"/>
      <c r="T354" s="853"/>
    </row>
    <row r="355" spans="1:20" s="610" customFormat="1" ht="38.25">
      <c r="A355" s="915"/>
      <c r="B355" s="919"/>
      <c r="C355" s="913" t="s">
        <v>2458</v>
      </c>
      <c r="D355" s="49" t="s">
        <v>151</v>
      </c>
      <c r="E355" s="805" t="s">
        <v>785</v>
      </c>
      <c r="F355" s="195"/>
      <c r="G355" s="12" t="s">
        <v>786</v>
      </c>
      <c r="H355" s="7" t="s">
        <v>326</v>
      </c>
      <c r="I355" s="27">
        <v>1</v>
      </c>
      <c r="J355" s="9">
        <v>1735.22</v>
      </c>
      <c r="K355" s="9">
        <f>J355*$S$3</f>
        <v>2273.1382000000003</v>
      </c>
      <c r="L355" s="9">
        <v>16.8</v>
      </c>
      <c r="M355" s="9">
        <f t="shared" si="27"/>
        <v>2655.03</v>
      </c>
      <c r="N355" s="899">
        <v>0</v>
      </c>
      <c r="O355" s="900">
        <f t="shared" ref="O355:O418" si="29">I355-N355</f>
        <v>1</v>
      </c>
      <c r="P355" s="901">
        <f t="shared" si="28"/>
        <v>2655.03</v>
      </c>
      <c r="Q355" s="873"/>
      <c r="R355" s="873"/>
      <c r="S355" s="840"/>
      <c r="T355" s="853"/>
    </row>
    <row r="356" spans="1:20" s="610" customFormat="1">
      <c r="A356" s="915"/>
      <c r="B356" s="919"/>
      <c r="C356" s="913" t="s">
        <v>2458</v>
      </c>
      <c r="D356" s="49" t="s">
        <v>19</v>
      </c>
      <c r="E356" s="57"/>
      <c r="F356" s="50"/>
      <c r="G356" s="12" t="s">
        <v>182</v>
      </c>
      <c r="H356" s="7"/>
      <c r="I356" s="27"/>
      <c r="J356" s="9"/>
      <c r="K356" s="9"/>
      <c r="L356" s="9"/>
      <c r="M356" s="9"/>
      <c r="N356" s="899"/>
      <c r="O356" s="900"/>
      <c r="P356" s="901"/>
      <c r="Q356" s="873"/>
      <c r="R356" s="873"/>
      <c r="S356" s="840"/>
      <c r="T356" s="853"/>
    </row>
    <row r="357" spans="1:20" s="610" customFormat="1" ht="38.25">
      <c r="A357" s="915"/>
      <c r="B357" s="919"/>
      <c r="C357" s="913" t="s">
        <v>2458</v>
      </c>
      <c r="D357" s="49" t="s">
        <v>147</v>
      </c>
      <c r="E357" s="805" t="s">
        <v>243</v>
      </c>
      <c r="F357" s="195"/>
      <c r="G357" s="64" t="s">
        <v>244</v>
      </c>
      <c r="H357" s="7" t="s">
        <v>110</v>
      </c>
      <c r="I357" s="27">
        <v>50</v>
      </c>
      <c r="J357" s="9">
        <v>4.4000000000000004</v>
      </c>
      <c r="K357" s="9">
        <f>J357*$S$3</f>
        <v>5.7640000000000011</v>
      </c>
      <c r="L357" s="9">
        <v>16.8</v>
      </c>
      <c r="M357" s="9">
        <f t="shared" si="27"/>
        <v>6.73</v>
      </c>
      <c r="N357" s="899">
        <v>0</v>
      </c>
      <c r="O357" s="900">
        <f t="shared" si="29"/>
        <v>50</v>
      </c>
      <c r="P357" s="901">
        <f t="shared" si="28"/>
        <v>336.5</v>
      </c>
      <c r="Q357" s="873"/>
      <c r="R357" s="873"/>
      <c r="S357" s="840"/>
      <c r="T357" s="853"/>
    </row>
    <row r="358" spans="1:20" s="610" customFormat="1" ht="51">
      <c r="A358" s="915"/>
      <c r="B358" s="919"/>
      <c r="C358" s="913" t="s">
        <v>2458</v>
      </c>
      <c r="D358" s="49" t="s">
        <v>213</v>
      </c>
      <c r="E358" s="57" t="s">
        <v>229</v>
      </c>
      <c r="F358" s="50"/>
      <c r="G358" s="64" t="s">
        <v>784</v>
      </c>
      <c r="H358" s="7" t="s">
        <v>110</v>
      </c>
      <c r="I358" s="27">
        <v>80</v>
      </c>
      <c r="J358" s="9">
        <v>4.26</v>
      </c>
      <c r="K358" s="9">
        <f>J358*$S$3</f>
        <v>5.5805999999999996</v>
      </c>
      <c r="L358" s="9">
        <v>16.8</v>
      </c>
      <c r="M358" s="9">
        <f t="shared" si="27"/>
        <v>6.52</v>
      </c>
      <c r="N358" s="899">
        <v>0</v>
      </c>
      <c r="O358" s="900">
        <f t="shared" si="29"/>
        <v>80</v>
      </c>
      <c r="P358" s="901">
        <f t="shared" si="28"/>
        <v>521.6</v>
      </c>
      <c r="Q358" s="873"/>
      <c r="R358" s="873"/>
      <c r="S358" s="840"/>
      <c r="T358" s="853"/>
    </row>
    <row r="359" spans="1:20">
      <c r="D359" s="49" t="s">
        <v>18</v>
      </c>
      <c r="E359" s="57"/>
      <c r="F359" s="50"/>
      <c r="G359" s="12" t="s">
        <v>441</v>
      </c>
      <c r="H359" s="7"/>
      <c r="I359" s="27"/>
      <c r="J359" s="9"/>
      <c r="K359" s="9"/>
      <c r="L359" s="9"/>
      <c r="M359" s="9"/>
      <c r="N359" s="899"/>
      <c r="O359" s="900"/>
      <c r="P359" s="901"/>
      <c r="Q359" s="874"/>
      <c r="R359" s="874"/>
      <c r="S359" s="841"/>
      <c r="T359" s="854"/>
    </row>
    <row r="360" spans="1:20" s="610" customFormat="1">
      <c r="A360" s="915"/>
      <c r="B360" s="919"/>
      <c r="C360" s="913" t="s">
        <v>2458</v>
      </c>
      <c r="D360" s="49" t="s">
        <v>201</v>
      </c>
      <c r="E360" s="805" t="s">
        <v>782</v>
      </c>
      <c r="F360" s="195"/>
      <c r="G360" s="12" t="s">
        <v>783</v>
      </c>
      <c r="H360" s="7" t="s">
        <v>326</v>
      </c>
      <c r="I360" s="27">
        <v>1</v>
      </c>
      <c r="J360" s="9">
        <v>55.2</v>
      </c>
      <c r="K360" s="9">
        <f>J360*$S$3</f>
        <v>72.312000000000012</v>
      </c>
      <c r="L360" s="9">
        <v>16.8</v>
      </c>
      <c r="M360" s="9">
        <f t="shared" si="27"/>
        <v>84.46</v>
      </c>
      <c r="N360" s="899">
        <v>0</v>
      </c>
      <c r="O360" s="900">
        <f t="shared" si="29"/>
        <v>1</v>
      </c>
      <c r="P360" s="901">
        <f t="shared" si="28"/>
        <v>84.46</v>
      </c>
      <c r="Q360" s="873"/>
      <c r="R360" s="873"/>
      <c r="S360" s="840"/>
      <c r="T360" s="853"/>
    </row>
    <row r="361" spans="1:20" s="610" customFormat="1" ht="25.5">
      <c r="A361" s="915"/>
      <c r="B361" s="919"/>
      <c r="C361" s="913" t="s">
        <v>2458</v>
      </c>
      <c r="D361" s="49" t="s">
        <v>198</v>
      </c>
      <c r="E361" s="57" t="s">
        <v>780</v>
      </c>
      <c r="F361" s="50"/>
      <c r="G361" s="12" t="s">
        <v>781</v>
      </c>
      <c r="H361" s="7" t="s">
        <v>246</v>
      </c>
      <c r="I361" s="27">
        <v>6</v>
      </c>
      <c r="J361" s="9">
        <v>32.46</v>
      </c>
      <c r="K361" s="9">
        <f>J361*$S$3</f>
        <v>42.522600000000004</v>
      </c>
      <c r="L361" s="9">
        <v>16.8</v>
      </c>
      <c r="M361" s="9">
        <f t="shared" si="27"/>
        <v>49.67</v>
      </c>
      <c r="N361" s="899">
        <v>0</v>
      </c>
      <c r="O361" s="900">
        <f t="shared" si="29"/>
        <v>6</v>
      </c>
      <c r="P361" s="901">
        <f t="shared" si="28"/>
        <v>298.02</v>
      </c>
      <c r="Q361" s="873"/>
      <c r="R361" s="873"/>
      <c r="S361" s="840"/>
      <c r="T361" s="853"/>
    </row>
    <row r="362" spans="1:20" s="344" customFormat="1" ht="25.5">
      <c r="A362" s="915"/>
      <c r="B362" s="919"/>
      <c r="C362" s="913"/>
      <c r="D362" s="49" t="s">
        <v>390</v>
      </c>
      <c r="E362" s="57">
        <f>'[3]Plan Tron'!B231</f>
        <v>2559</v>
      </c>
      <c r="F362" s="805" t="str">
        <f>'[3]Plan Tron'!C231</f>
        <v>SINAPI (INSUMO)</v>
      </c>
      <c r="G362" s="643" t="str">
        <f>'[3]Plan Tron'!D231</f>
        <v>CONDULETE DE ALUMINIO TIPO C, PARA ELETRODUTO ROSCAVEL DE 3/4", COM TAMPA CEGA</v>
      </c>
      <c r="H362" s="57" t="str">
        <f>'[3]Plan Tron'!E231</f>
        <v>UN.</v>
      </c>
      <c r="I362" s="27">
        <v>11</v>
      </c>
      <c r="J362" s="9">
        <v>4.9000000000000004</v>
      </c>
      <c r="K362" s="9">
        <f>'[3]Plan Tron'!F231</f>
        <v>7.19</v>
      </c>
      <c r="L362" s="9">
        <v>16.8</v>
      </c>
      <c r="M362" s="9">
        <f t="shared" si="27"/>
        <v>8.4</v>
      </c>
      <c r="N362" s="899">
        <v>0</v>
      </c>
      <c r="O362" s="900">
        <f t="shared" si="29"/>
        <v>11</v>
      </c>
      <c r="P362" s="901">
        <f t="shared" si="28"/>
        <v>92.4</v>
      </c>
      <c r="Q362" s="874"/>
      <c r="R362" s="874"/>
      <c r="S362" s="841"/>
      <c r="T362" s="854"/>
    </row>
    <row r="363" spans="1:20" s="344" customFormat="1" ht="25.5">
      <c r="A363" s="915"/>
      <c r="B363" s="919"/>
      <c r="C363" s="913"/>
      <c r="D363" s="49" t="s">
        <v>387</v>
      </c>
      <c r="E363" s="57">
        <f>'[3]Plan Tron'!B232</f>
        <v>2560</v>
      </c>
      <c r="F363" s="805" t="str">
        <f>'[3]Plan Tron'!C232</f>
        <v>SINAPI (INSUMO)</v>
      </c>
      <c r="G363" s="643" t="str">
        <f>'[3]Plan Tron'!D232</f>
        <v xml:space="preserve">CONDULETE DE ALUMINIO TIPO C, PARA ELETRODUTO ROSCAVEL DE 1", COM TAMPA CEGA </v>
      </c>
      <c r="H363" s="57" t="str">
        <f>'[3]Plan Tron'!E232</f>
        <v>UN.</v>
      </c>
      <c r="I363" s="27">
        <v>16</v>
      </c>
      <c r="J363" s="9">
        <v>7.81</v>
      </c>
      <c r="K363" s="9">
        <f>'[3]Plan Tron'!F232</f>
        <v>8.99</v>
      </c>
      <c r="L363" s="9">
        <v>16.8</v>
      </c>
      <c r="M363" s="9">
        <f t="shared" si="27"/>
        <v>10.5</v>
      </c>
      <c r="N363" s="899">
        <v>0</v>
      </c>
      <c r="O363" s="900">
        <f t="shared" si="29"/>
        <v>16</v>
      </c>
      <c r="P363" s="901">
        <f t="shared" si="28"/>
        <v>168</v>
      </c>
      <c r="Q363" s="874"/>
      <c r="R363" s="874"/>
      <c r="S363" s="841"/>
      <c r="T363" s="854"/>
    </row>
    <row r="364" spans="1:20">
      <c r="D364" s="49"/>
      <c r="E364" s="57"/>
      <c r="F364" s="50"/>
      <c r="G364" s="12"/>
      <c r="H364" s="7"/>
      <c r="I364" s="27"/>
      <c r="J364" s="9"/>
      <c r="K364" s="9"/>
      <c r="L364" s="9"/>
      <c r="M364" s="9"/>
      <c r="N364" s="899"/>
      <c r="O364" s="900"/>
      <c r="P364" s="901"/>
      <c r="Q364" s="874"/>
      <c r="R364" s="874"/>
      <c r="S364" s="841"/>
      <c r="T364" s="854"/>
    </row>
    <row r="365" spans="1:20">
      <c r="D365" s="49"/>
      <c r="E365" s="57"/>
      <c r="F365" s="50"/>
      <c r="G365" s="12"/>
      <c r="H365" s="7"/>
      <c r="I365" s="27"/>
      <c r="J365" s="9"/>
      <c r="K365" s="9"/>
      <c r="L365" s="9"/>
      <c r="M365" s="9"/>
      <c r="N365" s="899"/>
      <c r="O365" s="900"/>
      <c r="P365" s="901"/>
      <c r="Q365" s="874"/>
      <c r="R365" s="874"/>
      <c r="S365" s="841"/>
      <c r="T365" s="854"/>
    </row>
    <row r="366" spans="1:20" s="344" customFormat="1" ht="25.5">
      <c r="A366" s="915"/>
      <c r="B366" s="919"/>
      <c r="C366" s="913"/>
      <c r="D366" s="49" t="s">
        <v>384</v>
      </c>
      <c r="E366" s="805">
        <f>'[3]Plan Tron'!B233</f>
        <v>2567</v>
      </c>
      <c r="F366" s="805" t="str">
        <f>'[3]Plan Tron'!C233</f>
        <v>SINAPI (INSUMO)</v>
      </c>
      <c r="G366" s="643" t="str">
        <f>'[3]Plan Tron'!D233</f>
        <v xml:space="preserve">CONDULETE DE ALUMINIO TIPO E, PARA ELETRODUTO ROSCAVEL DE 2", COM TAMPA CEGA </v>
      </c>
      <c r="H366" s="805" t="str">
        <f>'[3]Plan Tron'!E233</f>
        <v>UN.</v>
      </c>
      <c r="I366" s="27">
        <v>10</v>
      </c>
      <c r="J366" s="9">
        <v>24.82</v>
      </c>
      <c r="K366" s="9">
        <f>'[3]Plan Tron'!F233</f>
        <v>23.38</v>
      </c>
      <c r="L366" s="9">
        <v>16.8</v>
      </c>
      <c r="M366" s="9">
        <f t="shared" si="27"/>
        <v>27.31</v>
      </c>
      <c r="N366" s="899">
        <v>0</v>
      </c>
      <c r="O366" s="900">
        <f t="shared" si="29"/>
        <v>10</v>
      </c>
      <c r="P366" s="901">
        <f t="shared" si="28"/>
        <v>273.10000000000002</v>
      </c>
      <c r="Q366" s="874"/>
      <c r="R366" s="874"/>
      <c r="S366" s="841"/>
      <c r="T366" s="854"/>
    </row>
    <row r="367" spans="1:20" s="610" customFormat="1" ht="25.5">
      <c r="A367" s="915"/>
      <c r="B367" s="919"/>
      <c r="C367" s="913" t="s">
        <v>2458</v>
      </c>
      <c r="D367" s="49" t="s">
        <v>381</v>
      </c>
      <c r="E367" s="57" t="s">
        <v>778</v>
      </c>
      <c r="F367" s="50"/>
      <c r="G367" s="12" t="s">
        <v>779</v>
      </c>
      <c r="H367" s="7" t="s">
        <v>246</v>
      </c>
      <c r="I367" s="27">
        <v>1</v>
      </c>
      <c r="J367" s="9">
        <v>32.46</v>
      </c>
      <c r="K367" s="9">
        <f>J367*$S$3</f>
        <v>42.522600000000004</v>
      </c>
      <c r="L367" s="9">
        <v>16.8</v>
      </c>
      <c r="M367" s="9">
        <f t="shared" si="27"/>
        <v>49.67</v>
      </c>
      <c r="N367" s="899">
        <v>0</v>
      </c>
      <c r="O367" s="900">
        <f t="shared" si="29"/>
        <v>1</v>
      </c>
      <c r="P367" s="901">
        <f t="shared" si="28"/>
        <v>49.67</v>
      </c>
      <c r="Q367" s="873"/>
      <c r="R367" s="873"/>
      <c r="S367" s="840"/>
      <c r="T367" s="853"/>
    </row>
    <row r="368" spans="1:20" s="344" customFormat="1" ht="25.5">
      <c r="A368" s="915"/>
      <c r="B368" s="919"/>
      <c r="C368" s="913"/>
      <c r="D368" s="49" t="s">
        <v>378</v>
      </c>
      <c r="E368" s="805">
        <f>'[3]Plan Tron'!B234</f>
        <v>2633</v>
      </c>
      <c r="F368" s="805" t="str">
        <f>'[3]Plan Tron'!C234</f>
        <v>SINAPI (INSUMO)</v>
      </c>
      <c r="G368" s="643" t="str">
        <f>'[3]Plan Tron'!D234</f>
        <v>CURVA 90 GRAUS, PARA ELETRODUTO, EM ACO GALVANIZADO ELETROLITICO, DIAMETRO DE 20 MM (3/4")</v>
      </c>
      <c r="H368" s="805" t="str">
        <f>'[3]Plan Tron'!E234</f>
        <v>UN.</v>
      </c>
      <c r="I368" s="27">
        <v>1</v>
      </c>
      <c r="J368" s="9">
        <v>2.37</v>
      </c>
      <c r="K368" s="9">
        <f>'[3]Plan Tron'!F234</f>
        <v>2.5</v>
      </c>
      <c r="L368" s="9">
        <v>16.8</v>
      </c>
      <c r="M368" s="9">
        <f t="shared" si="27"/>
        <v>2.92</v>
      </c>
      <c r="N368" s="899">
        <v>0</v>
      </c>
      <c r="O368" s="900">
        <f t="shared" si="29"/>
        <v>1</v>
      </c>
      <c r="P368" s="901">
        <f t="shared" si="28"/>
        <v>2.92</v>
      </c>
      <c r="Q368" s="874"/>
      <c r="R368" s="874"/>
      <c r="S368" s="841"/>
      <c r="T368" s="854"/>
    </row>
    <row r="369" spans="1:20" s="344" customFormat="1" ht="25.5">
      <c r="A369" s="915"/>
      <c r="B369" s="919"/>
      <c r="C369" s="913"/>
      <c r="D369" s="49" t="s">
        <v>777</v>
      </c>
      <c r="E369" s="805">
        <f>'[3]Plan Tron'!B235</f>
        <v>2617</v>
      </c>
      <c r="F369" s="805" t="str">
        <f>'[3]Plan Tron'!C235</f>
        <v>SINAPI (INSUMO)</v>
      </c>
      <c r="G369" s="643" t="str">
        <f>'[3]Plan Tron'!D235</f>
        <v>CURVA 90 GRAUS, PARA ELETRODUTO, EM ACO GALVANIZADO ELETROLITICO, DIAMETRO DE 25 MM (1")</v>
      </c>
      <c r="H369" s="805" t="str">
        <f>'[3]Plan Tron'!E235</f>
        <v>UN.</v>
      </c>
      <c r="I369" s="27">
        <v>3</v>
      </c>
      <c r="J369" s="9">
        <v>3.22</v>
      </c>
      <c r="K369" s="9">
        <f>'[3]Plan Tron'!F235</f>
        <v>3.4</v>
      </c>
      <c r="L369" s="9">
        <v>16.8</v>
      </c>
      <c r="M369" s="9">
        <f t="shared" si="27"/>
        <v>3.97</v>
      </c>
      <c r="N369" s="899">
        <v>0</v>
      </c>
      <c r="O369" s="900">
        <f t="shared" si="29"/>
        <v>3</v>
      </c>
      <c r="P369" s="901">
        <f t="shared" si="28"/>
        <v>11.91</v>
      </c>
      <c r="Q369" s="874"/>
      <c r="R369" s="874"/>
      <c r="S369" s="841"/>
      <c r="T369" s="854"/>
    </row>
    <row r="370" spans="1:20" s="344" customFormat="1" ht="25.5">
      <c r="A370" s="915"/>
      <c r="B370" s="919"/>
      <c r="C370" s="913"/>
      <c r="D370" s="49" t="s">
        <v>776</v>
      </c>
      <c r="E370" s="805">
        <f>'[3]Plan Tron'!B236</f>
        <v>2631</v>
      </c>
      <c r="F370" s="805" t="str">
        <f>'[3]Plan Tron'!C236</f>
        <v>SINAPI (INSUMO)</v>
      </c>
      <c r="G370" s="643" t="str">
        <f>'[3]Plan Tron'!D236</f>
        <v>CURVA 90 GRAUS, PARA ELETRODUTO, EM ACO GALVANIZADO ELETROLITICO, DIAMETRO DE 50 MM (2")</v>
      </c>
      <c r="H370" s="805" t="str">
        <f>'[3]Plan Tron'!E236</f>
        <v>UN.</v>
      </c>
      <c r="I370" s="27">
        <v>4</v>
      </c>
      <c r="J370" s="9">
        <v>15.67</v>
      </c>
      <c r="K370" s="9">
        <f>'[3]Plan Tron'!F236</f>
        <v>13.89</v>
      </c>
      <c r="L370" s="9">
        <v>16.8</v>
      </c>
      <c r="M370" s="9">
        <f t="shared" si="27"/>
        <v>16.22</v>
      </c>
      <c r="N370" s="899">
        <v>0</v>
      </c>
      <c r="O370" s="900">
        <f t="shared" si="29"/>
        <v>4</v>
      </c>
      <c r="P370" s="901">
        <f t="shared" si="28"/>
        <v>64.88</v>
      </c>
      <c r="Q370" s="874"/>
      <c r="R370" s="874"/>
      <c r="S370" s="841"/>
      <c r="T370" s="854"/>
    </row>
    <row r="371" spans="1:20" s="344" customFormat="1" ht="25.5">
      <c r="A371" s="915"/>
      <c r="B371" s="919"/>
      <c r="C371" s="913"/>
      <c r="D371" s="49" t="s">
        <v>775</v>
      </c>
      <c r="E371" s="805">
        <f>'[3]Plan Tron'!B237</f>
        <v>2503</v>
      </c>
      <c r="F371" s="805" t="str">
        <f>'[3]Plan Tron'!C237</f>
        <v>SINAPI (INSUMO)</v>
      </c>
      <c r="G371" s="643" t="str">
        <f>'[3]Plan Tron'!D237</f>
        <v>ELETRODUTO FLEXIVEL, EM ACO GALVANIZADO, REVESTIDO EXTERNAMENTE COM PVC PRETO, DIAMETRO EXTERNO DE 50 MM( 1 1/2"), TIPO SEALTUBO</v>
      </c>
      <c r="H371" s="805" t="str">
        <f>'[3]Plan Tron'!E237</f>
        <v>M</v>
      </c>
      <c r="I371" s="27">
        <v>8</v>
      </c>
      <c r="J371" s="9">
        <v>29.97</v>
      </c>
      <c r="K371" s="9">
        <f>'[3]Plan Tron'!F237</f>
        <v>14.49</v>
      </c>
      <c r="L371" s="9">
        <v>16.8</v>
      </c>
      <c r="M371" s="9">
        <f t="shared" si="27"/>
        <v>16.920000000000002</v>
      </c>
      <c r="N371" s="899">
        <v>0</v>
      </c>
      <c r="O371" s="900">
        <f t="shared" si="29"/>
        <v>8</v>
      </c>
      <c r="P371" s="901">
        <f t="shared" si="28"/>
        <v>135.36000000000001</v>
      </c>
      <c r="Q371" s="874"/>
      <c r="R371" s="874"/>
      <c r="S371" s="841"/>
      <c r="T371" s="854"/>
    </row>
    <row r="372" spans="1:20">
      <c r="D372" s="49" t="s">
        <v>17</v>
      </c>
      <c r="E372" s="57"/>
      <c r="F372" s="50"/>
      <c r="G372" s="12" t="s">
        <v>440</v>
      </c>
      <c r="H372" s="7"/>
      <c r="I372" s="27"/>
      <c r="J372" s="9"/>
      <c r="K372" s="9"/>
      <c r="L372" s="9"/>
      <c r="M372" s="9"/>
      <c r="N372" s="899"/>
      <c r="O372" s="900"/>
      <c r="P372" s="901"/>
      <c r="Q372" s="874"/>
      <c r="R372" s="874"/>
      <c r="S372" s="841"/>
      <c r="T372" s="854"/>
    </row>
    <row r="373" spans="1:20" s="610" customFormat="1" ht="25.5">
      <c r="A373" s="915"/>
      <c r="B373" s="919"/>
      <c r="C373" s="913" t="s">
        <v>2458</v>
      </c>
      <c r="D373" s="49" t="s">
        <v>195</v>
      </c>
      <c r="E373" s="57" t="s">
        <v>773</v>
      </c>
      <c r="F373" s="50"/>
      <c r="G373" s="12" t="s">
        <v>774</v>
      </c>
      <c r="H373" s="7" t="s">
        <v>183</v>
      </c>
      <c r="I373" s="27">
        <v>10</v>
      </c>
      <c r="J373" s="9">
        <v>1040.81</v>
      </c>
      <c r="K373" s="9">
        <f>J373*$S$3</f>
        <v>1363.4611</v>
      </c>
      <c r="L373" s="9">
        <v>16.8</v>
      </c>
      <c r="M373" s="9">
        <f t="shared" si="27"/>
        <v>1592.52</v>
      </c>
      <c r="N373" s="899">
        <v>0</v>
      </c>
      <c r="O373" s="900">
        <f t="shared" si="29"/>
        <v>10</v>
      </c>
      <c r="P373" s="901">
        <f t="shared" si="28"/>
        <v>15925.2</v>
      </c>
      <c r="Q373" s="873"/>
      <c r="R373" s="873"/>
      <c r="S373" s="840"/>
      <c r="T373" s="853"/>
    </row>
    <row r="374" spans="1:20" s="610" customFormat="1" ht="51">
      <c r="A374" s="915"/>
      <c r="B374" s="919"/>
      <c r="C374" s="913" t="s">
        <v>2458</v>
      </c>
      <c r="D374" s="49" t="s">
        <v>192</v>
      </c>
      <c r="E374" s="57" t="s">
        <v>771</v>
      </c>
      <c r="F374" s="50"/>
      <c r="G374" s="12" t="s">
        <v>772</v>
      </c>
      <c r="H374" s="7" t="s">
        <v>326</v>
      </c>
      <c r="I374" s="27">
        <v>11</v>
      </c>
      <c r="J374" s="9">
        <v>177.63</v>
      </c>
      <c r="K374" s="9">
        <f>J374*$S$3</f>
        <v>232.6953</v>
      </c>
      <c r="L374" s="9">
        <v>16.8</v>
      </c>
      <c r="M374" s="9">
        <f t="shared" si="27"/>
        <v>271.79000000000002</v>
      </c>
      <c r="N374" s="899">
        <v>0</v>
      </c>
      <c r="O374" s="900">
        <f t="shared" si="29"/>
        <v>11</v>
      </c>
      <c r="P374" s="901">
        <f t="shared" si="28"/>
        <v>2989.69</v>
      </c>
      <c r="Q374" s="873"/>
      <c r="R374" s="873"/>
      <c r="S374" s="840"/>
      <c r="T374" s="853"/>
    </row>
    <row r="375" spans="1:20">
      <c r="D375" s="49" t="s">
        <v>16</v>
      </c>
      <c r="E375" s="57"/>
      <c r="F375" s="50"/>
      <c r="G375" s="12" t="s">
        <v>770</v>
      </c>
      <c r="H375" s="7"/>
      <c r="I375" s="27"/>
      <c r="J375" s="9"/>
      <c r="K375" s="9"/>
      <c r="L375" s="9"/>
      <c r="M375" s="9"/>
      <c r="N375" s="899"/>
      <c r="O375" s="900"/>
      <c r="P375" s="901"/>
      <c r="Q375" s="874"/>
      <c r="R375" s="874"/>
      <c r="S375" s="841"/>
      <c r="T375" s="854"/>
    </row>
    <row r="376" spans="1:20" s="610" customFormat="1" ht="38.25">
      <c r="A376" s="915"/>
      <c r="B376" s="919"/>
      <c r="C376" s="913" t="s">
        <v>2458</v>
      </c>
      <c r="D376" s="49" t="s">
        <v>270</v>
      </c>
      <c r="E376" s="57" t="s">
        <v>768</v>
      </c>
      <c r="F376" s="50"/>
      <c r="G376" s="12" t="s">
        <v>769</v>
      </c>
      <c r="H376" s="7" t="s">
        <v>326</v>
      </c>
      <c r="I376" s="27">
        <v>1</v>
      </c>
      <c r="J376" s="9">
        <v>423.43</v>
      </c>
      <c r="K376" s="9">
        <f>J376*$S$3</f>
        <v>554.69330000000002</v>
      </c>
      <c r="L376" s="9">
        <v>16.8</v>
      </c>
      <c r="M376" s="9">
        <f t="shared" si="27"/>
        <v>647.88</v>
      </c>
      <c r="N376" s="899">
        <v>0</v>
      </c>
      <c r="O376" s="900">
        <f t="shared" si="29"/>
        <v>1</v>
      </c>
      <c r="P376" s="901">
        <f t="shared" si="28"/>
        <v>647.88</v>
      </c>
      <c r="Q376" s="873"/>
      <c r="R376" s="873"/>
      <c r="S376" s="840"/>
      <c r="T376" s="853"/>
    </row>
    <row r="377" spans="1:20">
      <c r="D377" s="49"/>
      <c r="E377" s="57"/>
      <c r="F377" s="50"/>
      <c r="G377" s="12"/>
      <c r="H377" s="7"/>
      <c r="I377" s="27"/>
      <c r="J377" s="9"/>
      <c r="K377" s="9"/>
      <c r="L377" s="9"/>
      <c r="M377" s="9"/>
      <c r="N377" s="926"/>
      <c r="O377" s="900"/>
      <c r="P377" s="901"/>
      <c r="Q377" s="874"/>
      <c r="R377" s="874"/>
      <c r="S377" s="841"/>
      <c r="T377" s="854"/>
    </row>
    <row r="378" spans="1:20">
      <c r="D378" s="49"/>
      <c r="E378" s="57"/>
      <c r="F378" s="50"/>
      <c r="G378" s="56"/>
      <c r="H378" s="18"/>
      <c r="I378" s="36"/>
      <c r="J378" s="20"/>
      <c r="K378" s="20"/>
      <c r="L378" s="20"/>
      <c r="M378" s="9"/>
      <c r="N378" s="936"/>
      <c r="O378" s="900"/>
      <c r="P378" s="901"/>
      <c r="Q378" s="874"/>
      <c r="R378" s="874"/>
      <c r="S378" s="841"/>
      <c r="T378" s="854"/>
    </row>
    <row r="379" spans="1:20" s="299" customFormat="1">
      <c r="A379" s="918"/>
      <c r="B379" s="922"/>
      <c r="C379" s="924"/>
      <c r="D379" s="929"/>
      <c r="E379" s="930"/>
      <c r="F379" s="929"/>
      <c r="G379" s="930" t="s">
        <v>70</v>
      </c>
      <c r="H379" s="929" t="str">
        <f>D348</f>
        <v>13.2</v>
      </c>
      <c r="I379" s="929"/>
      <c r="J379" s="929"/>
      <c r="K379" s="929"/>
      <c r="L379" s="929"/>
      <c r="M379" s="9"/>
      <c r="N379" s="937"/>
      <c r="O379" s="900"/>
      <c r="P379" s="901">
        <f>SUM(P354:P376)</f>
        <v>75075.240000000005</v>
      </c>
      <c r="Q379" s="874"/>
      <c r="R379" s="874"/>
      <c r="S379" s="841"/>
      <c r="T379" s="854"/>
    </row>
    <row r="380" spans="1:20">
      <c r="D380" s="384"/>
      <c r="E380" s="931"/>
      <c r="F380" s="384"/>
      <c r="G380" s="384"/>
      <c r="H380" s="384"/>
      <c r="I380" s="384"/>
      <c r="J380" s="384"/>
      <c r="K380" s="384"/>
      <c r="L380" s="384"/>
      <c r="M380" s="9"/>
      <c r="N380" s="926"/>
      <c r="O380" s="900"/>
      <c r="P380" s="901"/>
      <c r="Q380" s="874"/>
      <c r="R380" s="874"/>
      <c r="S380" s="841"/>
      <c r="T380" s="854"/>
    </row>
    <row r="381" spans="1:20" s="310" customFormat="1">
      <c r="A381" s="915"/>
      <c r="B381" s="919"/>
      <c r="C381" s="913"/>
      <c r="D381" s="108">
        <v>15</v>
      </c>
      <c r="E381" s="813"/>
      <c r="F381" s="109"/>
      <c r="G381" s="108" t="s">
        <v>1955</v>
      </c>
      <c r="H381" s="109"/>
      <c r="I381" s="109"/>
      <c r="J381" s="109"/>
      <c r="K381" s="109"/>
      <c r="L381" s="109"/>
      <c r="M381" s="791"/>
      <c r="N381" s="378"/>
      <c r="O381" s="792"/>
      <c r="P381" s="864"/>
      <c r="Q381" s="872"/>
      <c r="R381" s="872"/>
      <c r="S381" s="842"/>
      <c r="T381" s="852"/>
    </row>
    <row r="382" spans="1:20" s="310" customFormat="1">
      <c r="A382" s="915"/>
      <c r="B382" s="919"/>
      <c r="C382" s="913"/>
      <c r="D382" s="108" t="s">
        <v>62</v>
      </c>
      <c r="E382" s="813"/>
      <c r="F382" s="109"/>
      <c r="G382" s="108" t="s">
        <v>1955</v>
      </c>
      <c r="H382" s="109"/>
      <c r="I382" s="109"/>
      <c r="J382" s="109"/>
      <c r="K382" s="109"/>
      <c r="L382" s="109"/>
      <c r="M382" s="791"/>
      <c r="N382" s="378"/>
      <c r="O382" s="792"/>
      <c r="P382" s="864"/>
      <c r="Q382" s="872"/>
      <c r="R382" s="872"/>
      <c r="S382" s="842"/>
      <c r="T382" s="852"/>
    </row>
    <row r="383" spans="1:20">
      <c r="D383" s="44"/>
      <c r="E383" s="296"/>
      <c r="F383" s="44"/>
      <c r="G383" s="44"/>
      <c r="H383" s="44"/>
      <c r="I383" s="44"/>
      <c r="J383" s="302"/>
      <c r="K383" s="302"/>
      <c r="L383" s="44"/>
      <c r="M383" s="9"/>
      <c r="N383" s="375"/>
      <c r="O383" s="789"/>
      <c r="P383" s="863"/>
      <c r="Q383" s="874"/>
      <c r="R383" s="874"/>
      <c r="S383" s="841"/>
      <c r="T383" s="854"/>
    </row>
    <row r="384" spans="1:20" ht="25.5">
      <c r="D384" s="207"/>
      <c r="E384" s="56"/>
      <c r="F384" s="65"/>
      <c r="G384" s="168" t="s">
        <v>342</v>
      </c>
      <c r="H384" s="22"/>
      <c r="I384" s="51"/>
      <c r="J384" s="316"/>
      <c r="K384" s="316"/>
      <c r="L384" s="20"/>
      <c r="M384" s="9"/>
      <c r="N384" s="375"/>
      <c r="O384" s="789"/>
      <c r="P384" s="863"/>
      <c r="Q384" s="874"/>
      <c r="R384" s="874"/>
      <c r="S384" s="841"/>
      <c r="T384" s="854"/>
    </row>
    <row r="385" spans="1:20">
      <c r="D385" s="207"/>
      <c r="E385" s="56"/>
      <c r="F385" s="65"/>
      <c r="G385" s="168"/>
      <c r="H385" s="22"/>
      <c r="I385" s="51"/>
      <c r="J385" s="20"/>
      <c r="K385" s="20"/>
      <c r="L385" s="20"/>
      <c r="M385" s="9"/>
      <c r="N385" s="926"/>
      <c r="O385" s="900"/>
      <c r="P385" s="901"/>
      <c r="Q385" s="874"/>
      <c r="R385" s="874"/>
      <c r="S385" s="841"/>
      <c r="T385" s="854"/>
    </row>
    <row r="386" spans="1:20">
      <c r="D386" s="59">
        <v>1</v>
      </c>
      <c r="E386" s="56"/>
      <c r="F386" s="65"/>
      <c r="G386" s="168" t="s">
        <v>865</v>
      </c>
      <c r="H386" s="79"/>
      <c r="I386" s="219"/>
      <c r="J386" s="66"/>
      <c r="K386" s="66"/>
      <c r="L386" s="66"/>
      <c r="M386" s="9"/>
      <c r="N386" s="926"/>
      <c r="O386" s="900"/>
      <c r="P386" s="901"/>
      <c r="Q386" s="874"/>
      <c r="R386" s="874"/>
      <c r="S386" s="841"/>
      <c r="T386" s="854"/>
    </row>
    <row r="387" spans="1:20">
      <c r="D387" s="55" t="s">
        <v>20</v>
      </c>
      <c r="E387" s="56"/>
      <c r="F387" s="65"/>
      <c r="G387" s="61" t="s">
        <v>679</v>
      </c>
      <c r="H387" s="22"/>
      <c r="I387" s="51"/>
      <c r="J387" s="20"/>
      <c r="K387" s="20"/>
      <c r="L387" s="20"/>
      <c r="M387" s="9"/>
      <c r="N387" s="926"/>
      <c r="O387" s="900"/>
      <c r="P387" s="901"/>
      <c r="Q387" s="874"/>
      <c r="R387" s="874"/>
      <c r="S387" s="841"/>
      <c r="T387" s="854"/>
    </row>
    <row r="388" spans="1:20" s="885" customFormat="1" ht="25.5">
      <c r="A388" s="915"/>
      <c r="B388" s="919"/>
      <c r="C388" s="913"/>
      <c r="D388" s="55" t="s">
        <v>153</v>
      </c>
      <c r="E388" s="820" t="s">
        <v>863</v>
      </c>
      <c r="F388" s="87"/>
      <c r="G388" s="35" t="s">
        <v>864</v>
      </c>
      <c r="H388" s="18" t="s">
        <v>246</v>
      </c>
      <c r="I388" s="51">
        <v>1</v>
      </c>
      <c r="J388" s="20">
        <v>6766</v>
      </c>
      <c r="K388" s="20">
        <v>9970</v>
      </c>
      <c r="L388" s="20">
        <v>16.8</v>
      </c>
      <c r="M388" s="9">
        <f t="shared" si="27"/>
        <v>11644.96</v>
      </c>
      <c r="N388" s="899">
        <v>0</v>
      </c>
      <c r="O388" s="900">
        <f t="shared" si="29"/>
        <v>1</v>
      </c>
      <c r="P388" s="901">
        <f t="shared" si="28"/>
        <v>11644.96</v>
      </c>
      <c r="Q388" s="882"/>
      <c r="R388" s="882" t="s">
        <v>2440</v>
      </c>
      <c r="S388" s="883"/>
      <c r="T388" s="884"/>
    </row>
    <row r="389" spans="1:20" s="885" customFormat="1" ht="25.5">
      <c r="A389" s="915"/>
      <c r="B389" s="919"/>
      <c r="C389" s="913"/>
      <c r="D389" s="55" t="s">
        <v>151</v>
      </c>
      <c r="E389" s="820" t="s">
        <v>861</v>
      </c>
      <c r="F389" s="87"/>
      <c r="G389" s="35" t="s">
        <v>862</v>
      </c>
      <c r="H389" s="18" t="s">
        <v>246</v>
      </c>
      <c r="I389" s="51">
        <v>1</v>
      </c>
      <c r="J389" s="20">
        <v>14800</v>
      </c>
      <c r="K389" s="20">
        <v>22330</v>
      </c>
      <c r="L389" s="20">
        <v>16.8</v>
      </c>
      <c r="M389" s="9">
        <f t="shared" si="27"/>
        <v>26081.439999999999</v>
      </c>
      <c r="N389" s="899">
        <v>0</v>
      </c>
      <c r="O389" s="900">
        <f t="shared" si="29"/>
        <v>1</v>
      </c>
      <c r="P389" s="901">
        <f t="shared" si="28"/>
        <v>26081.439999999999</v>
      </c>
      <c r="Q389" s="882"/>
      <c r="R389" s="882" t="s">
        <v>2440</v>
      </c>
      <c r="S389" s="883"/>
      <c r="T389" s="884"/>
    </row>
    <row r="390" spans="1:20" s="885" customFormat="1" ht="25.5">
      <c r="A390" s="915"/>
      <c r="B390" s="919"/>
      <c r="C390" s="913"/>
      <c r="D390" s="55" t="s">
        <v>149</v>
      </c>
      <c r="E390" s="820" t="s">
        <v>859</v>
      </c>
      <c r="F390" s="87"/>
      <c r="G390" s="63" t="s">
        <v>860</v>
      </c>
      <c r="H390" s="18" t="s">
        <v>246</v>
      </c>
      <c r="I390" s="51">
        <v>1</v>
      </c>
      <c r="J390" s="20">
        <v>890</v>
      </c>
      <c r="K390" s="9">
        <v>3530</v>
      </c>
      <c r="L390" s="20">
        <v>16.8</v>
      </c>
      <c r="M390" s="9">
        <f t="shared" si="27"/>
        <v>4123.04</v>
      </c>
      <c r="N390" s="899">
        <v>0</v>
      </c>
      <c r="O390" s="900">
        <f t="shared" si="29"/>
        <v>1</v>
      </c>
      <c r="P390" s="901">
        <f t="shared" si="28"/>
        <v>4123.04</v>
      </c>
      <c r="Q390" s="882"/>
      <c r="R390" s="882" t="s">
        <v>2447</v>
      </c>
      <c r="S390" s="883"/>
      <c r="T390" s="884"/>
    </row>
    <row r="391" spans="1:20" s="318" customFormat="1">
      <c r="A391" s="915"/>
      <c r="B391" s="919"/>
      <c r="C391" s="913"/>
      <c r="D391" s="55" t="s">
        <v>19</v>
      </c>
      <c r="E391" s="56"/>
      <c r="F391" s="65"/>
      <c r="G391" s="61" t="s">
        <v>621</v>
      </c>
      <c r="H391" s="18"/>
      <c r="I391" s="51"/>
      <c r="J391" s="20"/>
      <c r="K391" s="20"/>
      <c r="L391" s="20"/>
      <c r="M391" s="9"/>
      <c r="N391" s="899"/>
      <c r="O391" s="900"/>
      <c r="P391" s="901"/>
      <c r="Q391" s="874"/>
      <c r="R391" s="874"/>
      <c r="S391" s="841"/>
      <c r="T391" s="854"/>
    </row>
    <row r="392" spans="1:20" s="610" customFormat="1">
      <c r="A392" s="915" t="s">
        <v>2456</v>
      </c>
      <c r="B392" s="919"/>
      <c r="C392" s="913"/>
      <c r="D392" s="55" t="s">
        <v>147</v>
      </c>
      <c r="E392" s="820" t="s">
        <v>857</v>
      </c>
      <c r="F392" s="87"/>
      <c r="G392" s="63" t="s">
        <v>858</v>
      </c>
      <c r="H392" s="18" t="s">
        <v>246</v>
      </c>
      <c r="I392" s="51">
        <v>1</v>
      </c>
      <c r="J392" s="20">
        <v>7223.1</v>
      </c>
      <c r="K392" s="9">
        <f t="shared" ref="K392:K400" si="30">J392*$S$3</f>
        <v>9462.2610000000004</v>
      </c>
      <c r="L392" s="20">
        <v>16.8</v>
      </c>
      <c r="M392" s="9">
        <f t="shared" si="27"/>
        <v>11051.92</v>
      </c>
      <c r="N392" s="899">
        <v>0</v>
      </c>
      <c r="O392" s="900">
        <f t="shared" si="29"/>
        <v>1</v>
      </c>
      <c r="P392" s="901">
        <f t="shared" si="28"/>
        <v>11051.92</v>
      </c>
      <c r="Q392" s="873"/>
      <c r="R392" s="873"/>
      <c r="S392" s="840"/>
      <c r="T392" s="853"/>
    </row>
    <row r="393" spans="1:20" s="610" customFormat="1">
      <c r="A393" s="915" t="s">
        <v>2456</v>
      </c>
      <c r="B393" s="919"/>
      <c r="C393" s="913"/>
      <c r="D393" s="55" t="s">
        <v>213</v>
      </c>
      <c r="E393" s="820" t="s">
        <v>855</v>
      </c>
      <c r="F393" s="87"/>
      <c r="G393" s="63" t="s">
        <v>856</v>
      </c>
      <c r="H393" s="18" t="s">
        <v>246</v>
      </c>
      <c r="I393" s="51">
        <v>1</v>
      </c>
      <c r="J393" s="20">
        <v>4847.2</v>
      </c>
      <c r="K393" s="9">
        <f t="shared" si="30"/>
        <v>6349.8320000000003</v>
      </c>
      <c r="L393" s="20">
        <v>16.8</v>
      </c>
      <c r="M393" s="9">
        <f t="shared" si="27"/>
        <v>7416.6</v>
      </c>
      <c r="N393" s="899">
        <v>0</v>
      </c>
      <c r="O393" s="900">
        <f t="shared" si="29"/>
        <v>1</v>
      </c>
      <c r="P393" s="901">
        <f t="shared" si="28"/>
        <v>7416.6</v>
      </c>
      <c r="Q393" s="873"/>
      <c r="R393" s="873"/>
      <c r="S393" s="840"/>
      <c r="T393" s="853"/>
    </row>
    <row r="394" spans="1:20" s="610" customFormat="1">
      <c r="A394" s="915" t="s">
        <v>2456</v>
      </c>
      <c r="B394" s="919"/>
      <c r="C394" s="913"/>
      <c r="D394" s="55" t="s">
        <v>212</v>
      </c>
      <c r="E394" s="820" t="s">
        <v>853</v>
      </c>
      <c r="F394" s="87"/>
      <c r="G394" s="63" t="s">
        <v>854</v>
      </c>
      <c r="H394" s="18" t="s">
        <v>246</v>
      </c>
      <c r="I394" s="51">
        <v>1</v>
      </c>
      <c r="J394" s="20">
        <v>4980.0600000000004</v>
      </c>
      <c r="K394" s="9">
        <f t="shared" si="30"/>
        <v>6523.8786000000009</v>
      </c>
      <c r="L394" s="20">
        <v>16.8</v>
      </c>
      <c r="M394" s="9">
        <f t="shared" si="27"/>
        <v>7619.89</v>
      </c>
      <c r="N394" s="899">
        <v>0</v>
      </c>
      <c r="O394" s="900">
        <f t="shared" si="29"/>
        <v>1</v>
      </c>
      <c r="P394" s="901">
        <f t="shared" si="28"/>
        <v>7619.89</v>
      </c>
      <c r="Q394" s="873"/>
      <c r="R394" s="873"/>
      <c r="S394" s="840"/>
      <c r="T394" s="853"/>
    </row>
    <row r="395" spans="1:20" s="610" customFormat="1">
      <c r="A395" s="915" t="s">
        <v>2456</v>
      </c>
      <c r="B395" s="919"/>
      <c r="C395" s="913"/>
      <c r="D395" s="55" t="s">
        <v>211</v>
      </c>
      <c r="E395" s="820" t="s">
        <v>851</v>
      </c>
      <c r="F395" s="87"/>
      <c r="G395" s="63" t="s">
        <v>852</v>
      </c>
      <c r="H395" s="18" t="s">
        <v>246</v>
      </c>
      <c r="I395" s="51">
        <v>1</v>
      </c>
      <c r="J395" s="20">
        <v>10015.85</v>
      </c>
      <c r="K395" s="9">
        <f t="shared" si="30"/>
        <v>13120.763500000001</v>
      </c>
      <c r="L395" s="20">
        <v>16.8</v>
      </c>
      <c r="M395" s="9">
        <f t="shared" si="27"/>
        <v>15325.05</v>
      </c>
      <c r="N395" s="899">
        <v>0</v>
      </c>
      <c r="O395" s="900">
        <f t="shared" si="29"/>
        <v>1</v>
      </c>
      <c r="P395" s="901">
        <f t="shared" si="28"/>
        <v>15325.05</v>
      </c>
      <c r="Q395" s="873"/>
      <c r="R395" s="873"/>
      <c r="S395" s="840"/>
      <c r="T395" s="853"/>
    </row>
    <row r="396" spans="1:20" s="610" customFormat="1">
      <c r="A396" s="915" t="s">
        <v>2456</v>
      </c>
      <c r="B396" s="919"/>
      <c r="C396" s="913"/>
      <c r="D396" s="55" t="s">
        <v>208</v>
      </c>
      <c r="E396" s="820" t="s">
        <v>605</v>
      </c>
      <c r="F396" s="87"/>
      <c r="G396" s="63" t="s">
        <v>850</v>
      </c>
      <c r="H396" s="18" t="s">
        <v>246</v>
      </c>
      <c r="I396" s="51">
        <v>1</v>
      </c>
      <c r="J396" s="20">
        <v>2983.2</v>
      </c>
      <c r="K396" s="9">
        <f t="shared" si="30"/>
        <v>3907.9919999999997</v>
      </c>
      <c r="L396" s="20">
        <v>16.8</v>
      </c>
      <c r="M396" s="9">
        <f t="shared" si="27"/>
        <v>4564.53</v>
      </c>
      <c r="N396" s="899">
        <v>0</v>
      </c>
      <c r="O396" s="900">
        <f t="shared" si="29"/>
        <v>1</v>
      </c>
      <c r="P396" s="901">
        <f t="shared" si="28"/>
        <v>4564.53</v>
      </c>
      <c r="Q396" s="873"/>
      <c r="R396" s="873"/>
      <c r="S396" s="840"/>
      <c r="T396" s="853"/>
    </row>
    <row r="397" spans="1:20" s="610" customFormat="1">
      <c r="A397" s="915" t="s">
        <v>2456</v>
      </c>
      <c r="B397" s="919"/>
      <c r="C397" s="913"/>
      <c r="D397" s="55" t="s">
        <v>205</v>
      </c>
      <c r="E397" s="820" t="s">
        <v>755</v>
      </c>
      <c r="F397" s="87"/>
      <c r="G397" s="63" t="s">
        <v>849</v>
      </c>
      <c r="H397" s="18" t="s">
        <v>246</v>
      </c>
      <c r="I397" s="51">
        <v>8</v>
      </c>
      <c r="J397" s="20">
        <v>252.72</v>
      </c>
      <c r="K397" s="9">
        <f t="shared" si="30"/>
        <v>331.06319999999999</v>
      </c>
      <c r="L397" s="20">
        <v>16.8</v>
      </c>
      <c r="M397" s="9">
        <f t="shared" si="27"/>
        <v>386.68</v>
      </c>
      <c r="N397" s="899">
        <v>0</v>
      </c>
      <c r="O397" s="900">
        <f t="shared" si="29"/>
        <v>8</v>
      </c>
      <c r="P397" s="901">
        <f t="shared" si="28"/>
        <v>3093.44</v>
      </c>
      <c r="Q397" s="873"/>
      <c r="R397" s="873"/>
      <c r="S397" s="840"/>
      <c r="T397" s="853"/>
    </row>
    <row r="398" spans="1:20" s="610" customFormat="1">
      <c r="A398" s="915" t="s">
        <v>2456</v>
      </c>
      <c r="B398" s="919"/>
      <c r="C398" s="913"/>
      <c r="D398" s="55" t="s">
        <v>204</v>
      </c>
      <c r="E398" s="820" t="s">
        <v>391</v>
      </c>
      <c r="F398" s="87"/>
      <c r="G398" s="63" t="s">
        <v>848</v>
      </c>
      <c r="H398" s="18" t="s">
        <v>246</v>
      </c>
      <c r="I398" s="51">
        <v>1</v>
      </c>
      <c r="J398" s="20">
        <v>1188</v>
      </c>
      <c r="K398" s="9">
        <f t="shared" si="30"/>
        <v>1556.28</v>
      </c>
      <c r="L398" s="20">
        <v>16.8</v>
      </c>
      <c r="M398" s="9">
        <f t="shared" si="27"/>
        <v>1817.74</v>
      </c>
      <c r="N398" s="899">
        <v>0</v>
      </c>
      <c r="O398" s="900">
        <f t="shared" si="29"/>
        <v>1</v>
      </c>
      <c r="P398" s="901">
        <f t="shared" si="28"/>
        <v>1817.74</v>
      </c>
      <c r="Q398" s="873"/>
      <c r="R398" s="873"/>
      <c r="S398" s="840"/>
      <c r="T398" s="853"/>
    </row>
    <row r="399" spans="1:20" s="610" customFormat="1">
      <c r="A399" s="915" t="s">
        <v>2456</v>
      </c>
      <c r="B399" s="919"/>
      <c r="C399" s="913"/>
      <c r="D399" s="55" t="s">
        <v>203</v>
      </c>
      <c r="E399" s="820" t="s">
        <v>846</v>
      </c>
      <c r="F399" s="87"/>
      <c r="G399" s="63" t="s">
        <v>847</v>
      </c>
      <c r="H399" s="18" t="s">
        <v>246</v>
      </c>
      <c r="I399" s="51">
        <v>1</v>
      </c>
      <c r="J399" s="20">
        <v>4793.38</v>
      </c>
      <c r="K399" s="9">
        <f t="shared" si="30"/>
        <v>6279.3278</v>
      </c>
      <c r="L399" s="20">
        <v>16.8</v>
      </c>
      <c r="M399" s="9">
        <f t="shared" si="27"/>
        <v>7334.25</v>
      </c>
      <c r="N399" s="899">
        <v>0</v>
      </c>
      <c r="O399" s="900">
        <f t="shared" si="29"/>
        <v>1</v>
      </c>
      <c r="P399" s="901">
        <f t="shared" si="28"/>
        <v>7334.25</v>
      </c>
      <c r="Q399" s="873"/>
      <c r="R399" s="873"/>
      <c r="S399" s="840"/>
      <c r="T399" s="853"/>
    </row>
    <row r="400" spans="1:20" s="610" customFormat="1">
      <c r="A400" s="915" t="s">
        <v>2456</v>
      </c>
      <c r="B400" s="919"/>
      <c r="C400" s="913"/>
      <c r="D400" s="55" t="s">
        <v>297</v>
      </c>
      <c r="E400" s="820" t="s">
        <v>844</v>
      </c>
      <c r="F400" s="87"/>
      <c r="G400" s="63" t="s">
        <v>845</v>
      </c>
      <c r="H400" s="18" t="s">
        <v>246</v>
      </c>
      <c r="I400" s="51">
        <v>1</v>
      </c>
      <c r="J400" s="20">
        <v>424.37</v>
      </c>
      <c r="K400" s="9">
        <f t="shared" si="30"/>
        <v>555.92470000000003</v>
      </c>
      <c r="L400" s="20">
        <v>16.8</v>
      </c>
      <c r="M400" s="9">
        <f t="shared" si="27"/>
        <v>649.32000000000005</v>
      </c>
      <c r="N400" s="899">
        <v>0</v>
      </c>
      <c r="O400" s="900">
        <f t="shared" si="29"/>
        <v>1</v>
      </c>
      <c r="P400" s="901">
        <f t="shared" si="28"/>
        <v>649.32000000000005</v>
      </c>
      <c r="Q400" s="873"/>
      <c r="R400" s="873"/>
      <c r="S400" s="840"/>
      <c r="T400" s="853"/>
    </row>
    <row r="401" spans="1:20" s="318" customFormat="1">
      <c r="A401" s="915"/>
      <c r="B401" s="919"/>
      <c r="C401" s="913"/>
      <c r="D401" s="55" t="s">
        <v>18</v>
      </c>
      <c r="E401" s="56"/>
      <c r="F401" s="65"/>
      <c r="G401" s="61" t="s">
        <v>340</v>
      </c>
      <c r="H401" s="18"/>
      <c r="I401" s="51"/>
      <c r="J401" s="20"/>
      <c r="K401" s="20"/>
      <c r="L401" s="20"/>
      <c r="M401" s="9"/>
      <c r="N401" s="899"/>
      <c r="O401" s="900"/>
      <c r="P401" s="901"/>
      <c r="Q401" s="874"/>
      <c r="R401" s="874"/>
      <c r="S401" s="841"/>
      <c r="T401" s="854"/>
    </row>
    <row r="402" spans="1:20" s="610" customFormat="1">
      <c r="A402" s="915" t="s">
        <v>2456</v>
      </c>
      <c r="B402" s="919"/>
      <c r="C402" s="913"/>
      <c r="D402" s="55" t="s">
        <v>201</v>
      </c>
      <c r="E402" s="820" t="s">
        <v>842</v>
      </c>
      <c r="F402" s="87"/>
      <c r="G402" s="63" t="s">
        <v>843</v>
      </c>
      <c r="H402" s="18" t="s">
        <v>246</v>
      </c>
      <c r="I402" s="51">
        <v>1</v>
      </c>
      <c r="J402" s="20">
        <v>3010.36</v>
      </c>
      <c r="K402" s="9">
        <f>J402*$S$3</f>
        <v>3943.5716000000002</v>
      </c>
      <c r="L402" s="20">
        <v>16.8</v>
      </c>
      <c r="M402" s="9">
        <f t="shared" ref="M402:M459" si="31">ROUND(K402*(L402/100+1),2)</f>
        <v>4606.09</v>
      </c>
      <c r="N402" s="899">
        <v>0</v>
      </c>
      <c r="O402" s="900">
        <f t="shared" si="29"/>
        <v>1</v>
      </c>
      <c r="P402" s="901">
        <f t="shared" ref="P402:P459" si="32">ROUND(O402*M402,2)</f>
        <v>4606.09</v>
      </c>
      <c r="Q402" s="873"/>
      <c r="R402" s="873"/>
      <c r="S402" s="840"/>
      <c r="T402" s="853"/>
    </row>
    <row r="403" spans="1:20" s="610" customFormat="1">
      <c r="A403" s="915" t="s">
        <v>2456</v>
      </c>
      <c r="B403" s="919"/>
      <c r="C403" s="913"/>
      <c r="D403" s="55" t="s">
        <v>198</v>
      </c>
      <c r="E403" s="820" t="s">
        <v>840</v>
      </c>
      <c r="F403" s="87"/>
      <c r="G403" s="63" t="s">
        <v>841</v>
      </c>
      <c r="H403" s="18" t="s">
        <v>246</v>
      </c>
      <c r="I403" s="51">
        <v>4</v>
      </c>
      <c r="J403" s="20">
        <v>671.11</v>
      </c>
      <c r="K403" s="9">
        <f>J403*$S$3</f>
        <v>879.15410000000008</v>
      </c>
      <c r="L403" s="20">
        <v>16.8</v>
      </c>
      <c r="M403" s="9">
        <f t="shared" si="31"/>
        <v>1026.8499999999999</v>
      </c>
      <c r="N403" s="899">
        <v>0</v>
      </c>
      <c r="O403" s="900">
        <f t="shared" si="29"/>
        <v>4</v>
      </c>
      <c r="P403" s="901">
        <f t="shared" si="32"/>
        <v>4107.3999999999996</v>
      </c>
      <c r="Q403" s="873"/>
      <c r="R403" s="873"/>
      <c r="S403" s="840"/>
      <c r="T403" s="853"/>
    </row>
    <row r="404" spans="1:20" s="610" customFormat="1">
      <c r="A404" s="915" t="s">
        <v>2456</v>
      </c>
      <c r="B404" s="919"/>
      <c r="C404" s="913"/>
      <c r="D404" s="55" t="s">
        <v>390</v>
      </c>
      <c r="E404" s="832" t="s">
        <v>1881</v>
      </c>
      <c r="F404" s="217"/>
      <c r="G404" s="63" t="s">
        <v>839</v>
      </c>
      <c r="H404" s="18" t="s">
        <v>246</v>
      </c>
      <c r="I404" s="51">
        <v>1</v>
      </c>
      <c r="J404" s="20">
        <v>1583.99</v>
      </c>
      <c r="K404" s="9">
        <f>J404*$S$3</f>
        <v>2075.0269000000003</v>
      </c>
      <c r="L404" s="20">
        <v>16.8</v>
      </c>
      <c r="M404" s="9">
        <f t="shared" si="31"/>
        <v>2423.63</v>
      </c>
      <c r="N404" s="899">
        <v>0</v>
      </c>
      <c r="O404" s="900">
        <f t="shared" si="29"/>
        <v>1</v>
      </c>
      <c r="P404" s="901">
        <f t="shared" si="32"/>
        <v>2423.63</v>
      </c>
      <c r="Q404" s="873"/>
      <c r="R404" s="873"/>
      <c r="S404" s="840"/>
      <c r="T404" s="853"/>
    </row>
    <row r="405" spans="1:20" s="610" customFormat="1">
      <c r="A405" s="915" t="s">
        <v>2456</v>
      </c>
      <c r="B405" s="919"/>
      <c r="C405" s="913"/>
      <c r="D405" s="55" t="s">
        <v>387</v>
      </c>
      <c r="E405" s="832" t="s">
        <v>1882</v>
      </c>
      <c r="F405" s="217"/>
      <c r="G405" s="63" t="s">
        <v>838</v>
      </c>
      <c r="H405" s="18" t="s">
        <v>110</v>
      </c>
      <c r="I405" s="51">
        <v>6</v>
      </c>
      <c r="J405" s="20">
        <v>5900</v>
      </c>
      <c r="K405" s="9">
        <f>J405*$S$3</f>
        <v>7729</v>
      </c>
      <c r="L405" s="20">
        <v>16.8</v>
      </c>
      <c r="M405" s="9">
        <f t="shared" si="31"/>
        <v>9027.4699999999993</v>
      </c>
      <c r="N405" s="899">
        <v>0</v>
      </c>
      <c r="O405" s="900">
        <f t="shared" si="29"/>
        <v>6</v>
      </c>
      <c r="P405" s="901">
        <f t="shared" si="32"/>
        <v>54164.82</v>
      </c>
      <c r="Q405" s="873"/>
      <c r="R405" s="873"/>
      <c r="S405" s="840"/>
      <c r="T405" s="853"/>
    </row>
    <row r="406" spans="1:20" s="610" customFormat="1">
      <c r="A406" s="915" t="s">
        <v>2456</v>
      </c>
      <c r="B406" s="919"/>
      <c r="C406" s="913"/>
      <c r="D406" s="55" t="s">
        <v>384</v>
      </c>
      <c r="E406" s="832" t="s">
        <v>1882</v>
      </c>
      <c r="F406" s="217"/>
      <c r="G406" s="63" t="s">
        <v>838</v>
      </c>
      <c r="H406" s="18" t="s">
        <v>110</v>
      </c>
      <c r="I406" s="51">
        <v>1.06</v>
      </c>
      <c r="J406" s="20">
        <v>5900</v>
      </c>
      <c r="K406" s="9">
        <f>J406*$S$3</f>
        <v>7729</v>
      </c>
      <c r="L406" s="20">
        <v>16.8</v>
      </c>
      <c r="M406" s="9">
        <f t="shared" si="31"/>
        <v>9027.4699999999993</v>
      </c>
      <c r="N406" s="899">
        <v>0</v>
      </c>
      <c r="O406" s="900">
        <f t="shared" si="29"/>
        <v>1.06</v>
      </c>
      <c r="P406" s="901">
        <f t="shared" si="32"/>
        <v>9569.1200000000008</v>
      </c>
      <c r="Q406" s="873"/>
      <c r="R406" s="873"/>
      <c r="S406" s="840"/>
      <c r="T406" s="853"/>
    </row>
    <row r="407" spans="1:20" s="318" customFormat="1">
      <c r="A407" s="915"/>
      <c r="B407" s="919"/>
      <c r="C407" s="913"/>
      <c r="D407" s="55" t="s">
        <v>17</v>
      </c>
      <c r="E407" s="56"/>
      <c r="F407" s="65"/>
      <c r="G407" s="61" t="s">
        <v>522</v>
      </c>
      <c r="H407" s="18"/>
      <c r="I407" s="51"/>
      <c r="J407" s="20"/>
      <c r="K407" s="20"/>
      <c r="L407" s="20"/>
      <c r="M407" s="9"/>
      <c r="N407" s="899"/>
      <c r="O407" s="900"/>
      <c r="P407" s="901"/>
      <c r="Q407" s="874"/>
      <c r="R407" s="874"/>
      <c r="S407" s="841"/>
      <c r="T407" s="854"/>
    </row>
    <row r="408" spans="1:20" s="610" customFormat="1" ht="25.5">
      <c r="A408" s="915" t="s">
        <v>2456</v>
      </c>
      <c r="B408" s="919"/>
      <c r="C408" s="913"/>
      <c r="D408" s="55" t="s">
        <v>195</v>
      </c>
      <c r="E408" s="820" t="s">
        <v>502</v>
      </c>
      <c r="F408" s="87"/>
      <c r="G408" s="63" t="s">
        <v>837</v>
      </c>
      <c r="H408" s="18" t="s">
        <v>246</v>
      </c>
      <c r="I408" s="51">
        <v>1</v>
      </c>
      <c r="J408" s="20">
        <v>875.7</v>
      </c>
      <c r="K408" s="9">
        <f>J408*$S$3</f>
        <v>1147.1670000000001</v>
      </c>
      <c r="L408" s="20">
        <v>16.8</v>
      </c>
      <c r="M408" s="9">
        <f t="shared" si="31"/>
        <v>1339.89</v>
      </c>
      <c r="N408" s="899">
        <v>0</v>
      </c>
      <c r="O408" s="900">
        <f t="shared" si="29"/>
        <v>1</v>
      </c>
      <c r="P408" s="901">
        <f t="shared" si="32"/>
        <v>1339.89</v>
      </c>
      <c r="Q408" s="873"/>
      <c r="R408" s="873"/>
      <c r="S408" s="840"/>
      <c r="T408" s="853"/>
    </row>
    <row r="409" spans="1:20" s="610" customFormat="1" ht="25.5">
      <c r="A409" s="915" t="s">
        <v>2456</v>
      </c>
      <c r="B409" s="919"/>
      <c r="C409" s="913"/>
      <c r="D409" s="55" t="s">
        <v>192</v>
      </c>
      <c r="E409" s="820" t="s">
        <v>835</v>
      </c>
      <c r="F409" s="87"/>
      <c r="G409" s="63" t="s">
        <v>836</v>
      </c>
      <c r="H409" s="18" t="s">
        <v>246</v>
      </c>
      <c r="I409" s="51">
        <v>1</v>
      </c>
      <c r="J409" s="20">
        <v>2001.65</v>
      </c>
      <c r="K409" s="9">
        <f>J409*$S$3</f>
        <v>2622.1615000000002</v>
      </c>
      <c r="L409" s="20">
        <v>16.8</v>
      </c>
      <c r="M409" s="9">
        <f t="shared" si="31"/>
        <v>3062.68</v>
      </c>
      <c r="N409" s="899">
        <v>0</v>
      </c>
      <c r="O409" s="900">
        <f t="shared" si="29"/>
        <v>1</v>
      </c>
      <c r="P409" s="901">
        <f t="shared" si="32"/>
        <v>3062.68</v>
      </c>
      <c r="Q409" s="873"/>
      <c r="R409" s="873"/>
      <c r="S409" s="840"/>
      <c r="T409" s="853"/>
    </row>
    <row r="410" spans="1:20" s="610" customFormat="1" ht="25.5">
      <c r="A410" s="915" t="s">
        <v>2456</v>
      </c>
      <c r="B410" s="919"/>
      <c r="C410" s="913"/>
      <c r="D410" s="55" t="s">
        <v>280</v>
      </c>
      <c r="E410" s="832" t="s">
        <v>1883</v>
      </c>
      <c r="F410" s="217"/>
      <c r="G410" s="63" t="s">
        <v>834</v>
      </c>
      <c r="H410" s="18" t="s">
        <v>246</v>
      </c>
      <c r="I410" s="51">
        <v>2</v>
      </c>
      <c r="J410" s="20">
        <v>3800</v>
      </c>
      <c r="K410" s="9">
        <f>J410*$S$3</f>
        <v>4978</v>
      </c>
      <c r="L410" s="20">
        <v>16.8</v>
      </c>
      <c r="M410" s="9">
        <f t="shared" si="31"/>
        <v>5814.3</v>
      </c>
      <c r="N410" s="899">
        <v>0</v>
      </c>
      <c r="O410" s="900">
        <f t="shared" si="29"/>
        <v>2</v>
      </c>
      <c r="P410" s="901">
        <f t="shared" si="32"/>
        <v>11628.6</v>
      </c>
      <c r="Q410" s="873"/>
      <c r="R410" s="873"/>
      <c r="S410" s="840"/>
      <c r="T410" s="853"/>
    </row>
    <row r="411" spans="1:20" s="318" customFormat="1">
      <c r="A411" s="915"/>
      <c r="B411" s="919"/>
      <c r="C411" s="913"/>
      <c r="D411" s="55"/>
      <c r="E411" s="820"/>
      <c r="F411" s="87"/>
      <c r="G411" s="63"/>
      <c r="H411" s="18"/>
      <c r="I411" s="51"/>
      <c r="J411" s="20"/>
      <c r="K411" s="20"/>
      <c r="L411" s="20"/>
      <c r="M411" s="9"/>
      <c r="N411" s="899"/>
      <c r="O411" s="900"/>
      <c r="P411" s="901"/>
      <c r="Q411" s="874"/>
      <c r="R411" s="874"/>
      <c r="S411" s="841"/>
      <c r="T411" s="854"/>
    </row>
    <row r="412" spans="1:20" s="318" customFormat="1">
      <c r="A412" s="915"/>
      <c r="B412" s="919"/>
      <c r="C412" s="913"/>
      <c r="D412" s="55" t="s">
        <v>16</v>
      </c>
      <c r="E412" s="56"/>
      <c r="F412" s="65"/>
      <c r="G412" s="61" t="s">
        <v>549</v>
      </c>
      <c r="H412" s="18"/>
      <c r="I412" s="51"/>
      <c r="J412" s="20"/>
      <c r="K412" s="20"/>
      <c r="L412" s="20"/>
      <c r="M412" s="9"/>
      <c r="N412" s="899"/>
      <c r="O412" s="900"/>
      <c r="P412" s="901"/>
      <c r="Q412" s="874"/>
      <c r="R412" s="874"/>
      <c r="S412" s="841"/>
      <c r="T412" s="854"/>
    </row>
    <row r="413" spans="1:20" s="610" customFormat="1" ht="25.5">
      <c r="A413" s="915" t="s">
        <v>2456</v>
      </c>
      <c r="B413" s="919"/>
      <c r="C413" s="913"/>
      <c r="D413" s="55" t="s">
        <v>270</v>
      </c>
      <c r="E413" s="833" t="s">
        <v>1623</v>
      </c>
      <c r="F413" s="20"/>
      <c r="G413" s="63" t="s">
        <v>833</v>
      </c>
      <c r="H413" s="18" t="s">
        <v>110</v>
      </c>
      <c r="I413" s="51">
        <v>1.9</v>
      </c>
      <c r="J413" s="20">
        <v>1526.7</v>
      </c>
      <c r="K413" s="9">
        <f>J413*$S$3</f>
        <v>1999.9770000000001</v>
      </c>
      <c r="L413" s="20">
        <v>16.8</v>
      </c>
      <c r="M413" s="9">
        <f t="shared" si="31"/>
        <v>2335.9699999999998</v>
      </c>
      <c r="N413" s="899">
        <v>0</v>
      </c>
      <c r="O413" s="900">
        <f t="shared" si="29"/>
        <v>1.9</v>
      </c>
      <c r="P413" s="901">
        <f t="shared" si="32"/>
        <v>4438.34</v>
      </c>
      <c r="Q413" s="873"/>
      <c r="R413" s="873"/>
      <c r="S413" s="840"/>
      <c r="T413" s="853"/>
    </row>
    <row r="414" spans="1:20" s="610" customFormat="1" ht="25.5">
      <c r="A414" s="915" t="s">
        <v>2456</v>
      </c>
      <c r="B414" s="919"/>
      <c r="C414" s="913"/>
      <c r="D414" s="55" t="s">
        <v>369</v>
      </c>
      <c r="E414" s="832" t="s">
        <v>1884</v>
      </c>
      <c r="F414" s="217"/>
      <c r="G414" s="63" t="s">
        <v>832</v>
      </c>
      <c r="H414" s="18" t="s">
        <v>246</v>
      </c>
      <c r="I414" s="51">
        <v>1</v>
      </c>
      <c r="J414" s="20">
        <v>2807</v>
      </c>
      <c r="K414" s="9">
        <f>J414*$S$3</f>
        <v>3677.17</v>
      </c>
      <c r="L414" s="20">
        <v>16.8</v>
      </c>
      <c r="M414" s="9">
        <f t="shared" si="31"/>
        <v>4294.93</v>
      </c>
      <c r="N414" s="899">
        <v>0</v>
      </c>
      <c r="O414" s="900">
        <f t="shared" si="29"/>
        <v>1</v>
      </c>
      <c r="P414" s="901">
        <f t="shared" si="32"/>
        <v>4294.93</v>
      </c>
      <c r="Q414" s="873"/>
      <c r="R414" s="873"/>
      <c r="S414" s="840"/>
      <c r="T414" s="853"/>
    </row>
    <row r="415" spans="1:20" s="318" customFormat="1">
      <c r="A415" s="915"/>
      <c r="B415" s="919"/>
      <c r="C415" s="913"/>
      <c r="D415" s="55" t="s">
        <v>15</v>
      </c>
      <c r="E415" s="56"/>
      <c r="F415" s="65"/>
      <c r="G415" s="63" t="s">
        <v>454</v>
      </c>
      <c r="H415" s="18"/>
      <c r="I415" s="51"/>
      <c r="J415" s="22"/>
      <c r="K415" s="22"/>
      <c r="L415" s="20"/>
      <c r="M415" s="9"/>
      <c r="N415" s="899"/>
      <c r="O415" s="900"/>
      <c r="P415" s="901"/>
      <c r="Q415" s="874"/>
      <c r="R415" s="874"/>
      <c r="S415" s="841"/>
      <c r="T415" s="854"/>
    </row>
    <row r="416" spans="1:20" s="837" customFormat="1">
      <c r="A416" s="915"/>
      <c r="B416" s="919"/>
      <c r="C416" s="913"/>
      <c r="D416" s="55" t="s">
        <v>249</v>
      </c>
      <c r="E416" s="832" t="s">
        <v>830</v>
      </c>
      <c r="F416" s="217"/>
      <c r="G416" s="63" t="s">
        <v>831</v>
      </c>
      <c r="H416" s="18" t="s">
        <v>326</v>
      </c>
      <c r="I416" s="51">
        <v>1</v>
      </c>
      <c r="J416" s="352">
        <v>1932.82</v>
      </c>
      <c r="K416" s="9">
        <f>J416*$S$3</f>
        <v>2531.9942000000001</v>
      </c>
      <c r="L416" s="20">
        <v>16.8</v>
      </c>
      <c r="M416" s="9">
        <f t="shared" si="31"/>
        <v>2957.37</v>
      </c>
      <c r="N416" s="899">
        <v>0</v>
      </c>
      <c r="O416" s="900">
        <f t="shared" si="29"/>
        <v>1</v>
      </c>
      <c r="P416" s="901">
        <f t="shared" si="32"/>
        <v>2957.37</v>
      </c>
      <c r="Q416" s="877"/>
      <c r="R416" s="877"/>
      <c r="S416" s="845"/>
      <c r="T416" s="858"/>
    </row>
    <row r="417" spans="1:20" s="837" customFormat="1">
      <c r="A417" s="915"/>
      <c r="B417" s="919"/>
      <c r="C417" s="913"/>
      <c r="D417" s="55" t="s">
        <v>265</v>
      </c>
      <c r="E417" s="832" t="s">
        <v>828</v>
      </c>
      <c r="F417" s="217"/>
      <c r="G417" s="63" t="s">
        <v>829</v>
      </c>
      <c r="H417" s="18" t="s">
        <v>326</v>
      </c>
      <c r="I417" s="51">
        <v>1</v>
      </c>
      <c r="J417" s="352">
        <v>4361.7700000000004</v>
      </c>
      <c r="K417" s="9">
        <f>J417*$S$3</f>
        <v>5713.9187000000011</v>
      </c>
      <c r="L417" s="20">
        <v>16.8</v>
      </c>
      <c r="M417" s="9">
        <f t="shared" si="31"/>
        <v>6673.86</v>
      </c>
      <c r="N417" s="899">
        <v>0</v>
      </c>
      <c r="O417" s="900">
        <f t="shared" si="29"/>
        <v>1</v>
      </c>
      <c r="P417" s="901">
        <f t="shared" si="32"/>
        <v>6673.86</v>
      </c>
      <c r="Q417" s="877"/>
      <c r="R417" s="877"/>
      <c r="S417" s="845"/>
      <c r="T417" s="858"/>
    </row>
    <row r="418" spans="1:20" s="837" customFormat="1">
      <c r="A418" s="915"/>
      <c r="B418" s="919"/>
      <c r="C418" s="913"/>
      <c r="D418" s="55" t="s">
        <v>263</v>
      </c>
      <c r="E418" s="832" t="s">
        <v>1885</v>
      </c>
      <c r="F418" s="217"/>
      <c r="G418" s="63" t="s">
        <v>827</v>
      </c>
      <c r="H418" s="18" t="s">
        <v>326</v>
      </c>
      <c r="I418" s="51">
        <v>1</v>
      </c>
      <c r="J418" s="352">
        <v>946.72</v>
      </c>
      <c r="K418" s="9">
        <f>J418*$S$3</f>
        <v>1240.2032000000002</v>
      </c>
      <c r="L418" s="20">
        <v>16.8</v>
      </c>
      <c r="M418" s="9">
        <f t="shared" si="31"/>
        <v>1448.56</v>
      </c>
      <c r="N418" s="899">
        <v>0</v>
      </c>
      <c r="O418" s="900">
        <f t="shared" si="29"/>
        <v>1</v>
      </c>
      <c r="P418" s="901">
        <f t="shared" si="32"/>
        <v>1448.56</v>
      </c>
      <c r="Q418" s="877"/>
      <c r="R418" s="877"/>
      <c r="S418" s="845"/>
      <c r="T418" s="858"/>
    </row>
    <row r="419" spans="1:20" s="837" customFormat="1">
      <c r="A419" s="915"/>
      <c r="B419" s="919"/>
      <c r="C419" s="913"/>
      <c r="D419" s="55" t="s">
        <v>358</v>
      </c>
      <c r="E419" s="832" t="s">
        <v>1886</v>
      </c>
      <c r="F419" s="217"/>
      <c r="G419" s="63" t="s">
        <v>826</v>
      </c>
      <c r="H419" s="18" t="s">
        <v>326</v>
      </c>
      <c r="I419" s="51">
        <v>1</v>
      </c>
      <c r="J419" s="352">
        <v>2915.95</v>
      </c>
      <c r="K419" s="9">
        <f>J419*$S$3</f>
        <v>3819.8944999999999</v>
      </c>
      <c r="L419" s="20">
        <v>16.8</v>
      </c>
      <c r="M419" s="9">
        <f t="shared" si="31"/>
        <v>4461.6400000000003</v>
      </c>
      <c r="N419" s="899">
        <v>0</v>
      </c>
      <c r="O419" s="900">
        <f t="shared" ref="O419:O482" si="33">I419-N419</f>
        <v>1</v>
      </c>
      <c r="P419" s="901">
        <f t="shared" si="32"/>
        <v>4461.6400000000003</v>
      </c>
      <c r="Q419" s="877"/>
      <c r="R419" s="877"/>
      <c r="S419" s="845"/>
      <c r="T419" s="858"/>
    </row>
    <row r="420" spans="1:20" s="320" customFormat="1">
      <c r="A420" s="915"/>
      <c r="B420" s="919"/>
      <c r="C420" s="913"/>
      <c r="D420" s="55" t="s">
        <v>14</v>
      </c>
      <c r="E420" s="56"/>
      <c r="F420" s="65"/>
      <c r="G420" s="63" t="s">
        <v>825</v>
      </c>
      <c r="H420" s="18"/>
      <c r="I420" s="51"/>
      <c r="J420" s="22"/>
      <c r="K420" s="22"/>
      <c r="L420" s="20"/>
      <c r="M420" s="9"/>
      <c r="N420" s="899"/>
      <c r="O420" s="900"/>
      <c r="P420" s="901"/>
      <c r="Q420" s="902"/>
      <c r="R420" s="902"/>
      <c r="S420" s="903"/>
      <c r="T420" s="904"/>
    </row>
    <row r="421" spans="1:20" s="610" customFormat="1" ht="25.5">
      <c r="A421" s="915" t="s">
        <v>2456</v>
      </c>
      <c r="B421" s="919"/>
      <c r="C421" s="913"/>
      <c r="D421" s="55" t="s">
        <v>181</v>
      </c>
      <c r="E421" s="820" t="s">
        <v>573</v>
      </c>
      <c r="F421" s="87"/>
      <c r="G421" s="63" t="s">
        <v>824</v>
      </c>
      <c r="H421" s="18" t="s">
        <v>246</v>
      </c>
      <c r="I421" s="51">
        <v>2</v>
      </c>
      <c r="J421" s="352">
        <v>579.5</v>
      </c>
      <c r="K421" s="9">
        <f t="shared" ref="K421:K426" si="34">J421*$S$3</f>
        <v>759.14499999999998</v>
      </c>
      <c r="L421" s="20">
        <v>16.8</v>
      </c>
      <c r="M421" s="9">
        <f t="shared" si="31"/>
        <v>886.68</v>
      </c>
      <c r="N421" s="899">
        <v>0</v>
      </c>
      <c r="O421" s="900">
        <f t="shared" si="33"/>
        <v>2</v>
      </c>
      <c r="P421" s="901">
        <f t="shared" si="32"/>
        <v>1773.36</v>
      </c>
      <c r="Q421" s="873"/>
      <c r="R421" s="873"/>
      <c r="S421" s="840"/>
      <c r="T421" s="853"/>
    </row>
    <row r="422" spans="1:20" s="610" customFormat="1" ht="25.5">
      <c r="A422" s="915"/>
      <c r="B422" s="919"/>
      <c r="C422" s="913"/>
      <c r="D422" s="55" t="s">
        <v>180</v>
      </c>
      <c r="E422" s="820" t="s">
        <v>578</v>
      </c>
      <c r="F422" s="87"/>
      <c r="G422" s="63" t="s">
        <v>579</v>
      </c>
      <c r="H422" s="18" t="s">
        <v>246</v>
      </c>
      <c r="I422" s="51">
        <v>8</v>
      </c>
      <c r="J422" s="20">
        <v>95.24</v>
      </c>
      <c r="K422" s="9">
        <f t="shared" si="34"/>
        <v>124.76439999999999</v>
      </c>
      <c r="L422" s="20">
        <v>16.8</v>
      </c>
      <c r="M422" s="9">
        <f t="shared" si="31"/>
        <v>145.72</v>
      </c>
      <c r="N422" s="899">
        <v>0</v>
      </c>
      <c r="O422" s="900">
        <f t="shared" si="33"/>
        <v>8</v>
      </c>
      <c r="P422" s="901">
        <f t="shared" si="32"/>
        <v>1165.76</v>
      </c>
      <c r="Q422" s="873"/>
      <c r="R422" s="873"/>
      <c r="S422" s="840"/>
      <c r="T422" s="853"/>
    </row>
    <row r="423" spans="1:20" s="610" customFormat="1" ht="25.5">
      <c r="A423" s="915" t="s">
        <v>2456</v>
      </c>
      <c r="B423" s="919"/>
      <c r="C423" s="913"/>
      <c r="D423" s="55" t="s">
        <v>179</v>
      </c>
      <c r="E423" s="820" t="s">
        <v>329</v>
      </c>
      <c r="F423" s="87"/>
      <c r="G423" s="63" t="s">
        <v>361</v>
      </c>
      <c r="H423" s="18" t="s">
        <v>246</v>
      </c>
      <c r="I423" s="51">
        <v>1</v>
      </c>
      <c r="J423" s="20">
        <v>378.23</v>
      </c>
      <c r="K423" s="9">
        <f t="shared" si="34"/>
        <v>495.48130000000003</v>
      </c>
      <c r="L423" s="20">
        <v>16.8</v>
      </c>
      <c r="M423" s="9">
        <f t="shared" si="31"/>
        <v>578.72</v>
      </c>
      <c r="N423" s="899">
        <v>0</v>
      </c>
      <c r="O423" s="900">
        <f t="shared" si="33"/>
        <v>1</v>
      </c>
      <c r="P423" s="901">
        <f t="shared" si="32"/>
        <v>578.72</v>
      </c>
      <c r="Q423" s="873"/>
      <c r="R423" s="873"/>
      <c r="S423" s="840"/>
      <c r="T423" s="853"/>
    </row>
    <row r="424" spans="1:20" s="610" customFormat="1" ht="25.5">
      <c r="A424" s="915" t="s">
        <v>2456</v>
      </c>
      <c r="B424" s="919"/>
      <c r="C424" s="913"/>
      <c r="D424" s="55" t="s">
        <v>178</v>
      </c>
      <c r="E424" s="820" t="s">
        <v>822</v>
      </c>
      <c r="F424" s="87"/>
      <c r="G424" s="63" t="s">
        <v>823</v>
      </c>
      <c r="H424" s="18" t="s">
        <v>246</v>
      </c>
      <c r="I424" s="51">
        <v>2</v>
      </c>
      <c r="J424" s="20">
        <v>1064.44</v>
      </c>
      <c r="K424" s="9">
        <f t="shared" si="34"/>
        <v>1394.4164000000001</v>
      </c>
      <c r="L424" s="20">
        <v>16.8</v>
      </c>
      <c r="M424" s="9">
        <f t="shared" si="31"/>
        <v>1628.68</v>
      </c>
      <c r="N424" s="899">
        <v>0</v>
      </c>
      <c r="O424" s="900">
        <f t="shared" si="33"/>
        <v>2</v>
      </c>
      <c r="P424" s="901">
        <f t="shared" si="32"/>
        <v>3257.36</v>
      </c>
      <c r="Q424" s="873"/>
      <c r="R424" s="873"/>
      <c r="S424" s="840"/>
      <c r="T424" s="853"/>
    </row>
    <row r="425" spans="1:20" s="610" customFormat="1" ht="25.5">
      <c r="A425" s="915"/>
      <c r="B425" s="919"/>
      <c r="C425" s="913"/>
      <c r="D425" s="55" t="s">
        <v>177</v>
      </c>
      <c r="E425" s="820" t="s">
        <v>820</v>
      </c>
      <c r="F425" s="87"/>
      <c r="G425" s="63" t="s">
        <v>821</v>
      </c>
      <c r="H425" s="18" t="s">
        <v>246</v>
      </c>
      <c r="I425" s="51">
        <v>1</v>
      </c>
      <c r="J425" s="20">
        <v>94.259999999999991</v>
      </c>
      <c r="K425" s="9">
        <f t="shared" si="34"/>
        <v>123.4806</v>
      </c>
      <c r="L425" s="20">
        <v>16.8</v>
      </c>
      <c r="M425" s="9">
        <f t="shared" si="31"/>
        <v>144.22999999999999</v>
      </c>
      <c r="N425" s="899">
        <v>0</v>
      </c>
      <c r="O425" s="900">
        <f t="shared" si="33"/>
        <v>1</v>
      </c>
      <c r="P425" s="901">
        <f t="shared" si="32"/>
        <v>144.22999999999999</v>
      </c>
      <c r="Q425" s="873"/>
      <c r="R425" s="873"/>
      <c r="S425" s="840"/>
      <c r="T425" s="853"/>
    </row>
    <row r="426" spans="1:20" s="610" customFormat="1">
      <c r="A426" s="915"/>
      <c r="B426" s="919"/>
      <c r="C426" s="913"/>
      <c r="D426" s="55" t="s">
        <v>176</v>
      </c>
      <c r="E426" s="820" t="s">
        <v>818</v>
      </c>
      <c r="F426" s="87"/>
      <c r="G426" s="63" t="s">
        <v>819</v>
      </c>
      <c r="H426" s="18" t="s">
        <v>326</v>
      </c>
      <c r="I426" s="51">
        <v>4</v>
      </c>
      <c r="J426" s="20">
        <v>627.20000000000005</v>
      </c>
      <c r="K426" s="9">
        <f t="shared" si="34"/>
        <v>821.63200000000006</v>
      </c>
      <c r="L426" s="20">
        <v>16.8</v>
      </c>
      <c r="M426" s="9">
        <f t="shared" si="31"/>
        <v>959.67</v>
      </c>
      <c r="N426" s="899">
        <v>0</v>
      </c>
      <c r="O426" s="900">
        <f t="shared" si="33"/>
        <v>4</v>
      </c>
      <c r="P426" s="901">
        <f t="shared" si="32"/>
        <v>3838.68</v>
      </c>
      <c r="Q426" s="873"/>
      <c r="R426" s="873"/>
      <c r="S426" s="840"/>
      <c r="T426" s="853"/>
    </row>
    <row r="427" spans="1:20" s="318" customFormat="1">
      <c r="A427" s="915"/>
      <c r="B427" s="919"/>
      <c r="C427" s="913"/>
      <c r="D427" s="55" t="s">
        <v>13</v>
      </c>
      <c r="E427" s="56"/>
      <c r="F427" s="65"/>
      <c r="G427" s="61" t="s">
        <v>817</v>
      </c>
      <c r="H427" s="18"/>
      <c r="I427" s="51"/>
      <c r="J427" s="20"/>
      <c r="K427" s="20"/>
      <c r="L427" s="20"/>
      <c r="M427" s="9"/>
      <c r="N427" s="899"/>
      <c r="O427" s="900"/>
      <c r="P427" s="901"/>
      <c r="Q427" s="874"/>
      <c r="R427" s="874"/>
      <c r="S427" s="841"/>
      <c r="T427" s="854"/>
    </row>
    <row r="428" spans="1:20" s="610" customFormat="1">
      <c r="A428" s="915"/>
      <c r="B428" s="919"/>
      <c r="C428" s="913"/>
      <c r="D428" s="55" t="s">
        <v>167</v>
      </c>
      <c r="E428" s="820" t="s">
        <v>362</v>
      </c>
      <c r="F428" s="87"/>
      <c r="G428" s="63" t="s">
        <v>816</v>
      </c>
      <c r="H428" s="18" t="s">
        <v>110</v>
      </c>
      <c r="I428" s="51">
        <v>77.5</v>
      </c>
      <c r="J428" s="20">
        <v>213.12</v>
      </c>
      <c r="K428" s="9">
        <f>J428*$S$3</f>
        <v>279.18720000000002</v>
      </c>
      <c r="L428" s="20">
        <v>16.8</v>
      </c>
      <c r="M428" s="9">
        <f t="shared" si="31"/>
        <v>326.08999999999997</v>
      </c>
      <c r="N428" s="899">
        <v>0</v>
      </c>
      <c r="O428" s="900">
        <f t="shared" si="33"/>
        <v>77.5</v>
      </c>
      <c r="P428" s="901">
        <f t="shared" si="32"/>
        <v>25271.98</v>
      </c>
      <c r="Q428" s="873"/>
      <c r="R428" s="873"/>
      <c r="S428" s="840"/>
      <c r="T428" s="853"/>
    </row>
    <row r="429" spans="1:20">
      <c r="D429" s="55"/>
      <c r="E429" s="820"/>
      <c r="F429" s="87"/>
      <c r="G429" s="63"/>
      <c r="H429" s="22"/>
      <c r="I429" s="51"/>
      <c r="J429" s="20"/>
      <c r="K429" s="20"/>
      <c r="L429" s="20"/>
      <c r="M429" s="9"/>
      <c r="N429" s="926"/>
      <c r="O429" s="900"/>
      <c r="P429" s="901"/>
      <c r="Q429" s="874"/>
      <c r="R429" s="874"/>
      <c r="S429" s="841"/>
      <c r="T429" s="854"/>
    </row>
    <row r="430" spans="1:20">
      <c r="D430" s="55"/>
      <c r="E430" s="56"/>
      <c r="F430" s="65"/>
      <c r="G430" s="56"/>
      <c r="H430" s="22"/>
      <c r="I430" s="51"/>
      <c r="J430" s="22"/>
      <c r="K430" s="22"/>
      <c r="L430" s="22"/>
      <c r="M430" s="9"/>
      <c r="N430" s="936"/>
      <c r="O430" s="900"/>
      <c r="P430" s="901"/>
      <c r="Q430" s="874"/>
      <c r="R430" s="874"/>
      <c r="S430" s="841"/>
      <c r="T430" s="854"/>
    </row>
    <row r="431" spans="1:20" s="299" customFormat="1">
      <c r="A431" s="918"/>
      <c r="B431" s="922"/>
      <c r="C431" s="924"/>
      <c r="D431" s="929"/>
      <c r="E431" s="930"/>
      <c r="F431" s="929"/>
      <c r="G431" s="930" t="s">
        <v>70</v>
      </c>
      <c r="H431" s="929">
        <f>D381</f>
        <v>15</v>
      </c>
      <c r="I431" s="929"/>
      <c r="J431" s="929"/>
      <c r="K431" s="929"/>
      <c r="L431" s="929"/>
      <c r="M431" s="9"/>
      <c r="N431" s="937"/>
      <c r="O431" s="900"/>
      <c r="P431" s="901">
        <f>SUM(P388:P428)</f>
        <v>251929.19999999998</v>
      </c>
      <c r="Q431" s="874"/>
      <c r="R431" s="874"/>
      <c r="S431" s="841"/>
      <c r="T431" s="854"/>
    </row>
    <row r="432" spans="1:20">
      <c r="D432" s="384"/>
      <c r="E432" s="931"/>
      <c r="F432" s="384"/>
      <c r="G432" s="384"/>
      <c r="H432" s="384"/>
      <c r="I432" s="384"/>
      <c r="J432" s="384"/>
      <c r="K432" s="384"/>
      <c r="L432" s="384"/>
      <c r="M432" s="9"/>
      <c r="N432" s="926"/>
      <c r="O432" s="900"/>
      <c r="P432" s="901"/>
      <c r="Q432" s="874"/>
      <c r="R432" s="874"/>
      <c r="S432" s="841"/>
      <c r="T432" s="854"/>
    </row>
    <row r="433" spans="1:20" s="310" customFormat="1">
      <c r="A433" s="915"/>
      <c r="B433" s="919"/>
      <c r="C433" s="913"/>
      <c r="D433" s="108" t="s">
        <v>61</v>
      </c>
      <c r="E433" s="813"/>
      <c r="F433" s="109"/>
      <c r="G433" s="108" t="s">
        <v>2008</v>
      </c>
      <c r="H433" s="109"/>
      <c r="I433" s="109"/>
      <c r="J433" s="109"/>
      <c r="K433" s="109"/>
      <c r="L433" s="109"/>
      <c r="M433" s="791"/>
      <c r="N433" s="378"/>
      <c r="O433" s="792"/>
      <c r="P433" s="864"/>
      <c r="Q433" s="872"/>
      <c r="R433" s="872"/>
      <c r="S433" s="842"/>
      <c r="T433" s="852"/>
    </row>
    <row r="434" spans="1:20">
      <c r="D434" s="44"/>
      <c r="E434" s="296"/>
      <c r="F434" s="44"/>
      <c r="G434" s="44"/>
      <c r="H434" s="44"/>
      <c r="I434" s="44"/>
      <c r="J434" s="302"/>
      <c r="K434" s="302"/>
      <c r="L434" s="44"/>
      <c r="M434" s="9"/>
      <c r="N434" s="375"/>
      <c r="O434" s="789"/>
      <c r="P434" s="863"/>
      <c r="Q434" s="874"/>
      <c r="R434" s="874"/>
      <c r="S434" s="841"/>
      <c r="T434" s="854"/>
    </row>
    <row r="435" spans="1:20" ht="25.5">
      <c r="D435" s="45"/>
      <c r="E435" s="57"/>
      <c r="F435" s="50"/>
      <c r="G435" s="46" t="s">
        <v>887</v>
      </c>
      <c r="H435" s="75"/>
      <c r="I435" s="76"/>
      <c r="J435" s="10"/>
      <c r="K435" s="10"/>
      <c r="L435" s="10"/>
      <c r="M435" s="9"/>
      <c r="N435" s="926"/>
      <c r="O435" s="900"/>
      <c r="P435" s="901"/>
      <c r="Q435" s="874"/>
      <c r="R435" s="874"/>
      <c r="S435" s="841"/>
      <c r="T435" s="854"/>
    </row>
    <row r="436" spans="1:20">
      <c r="D436" s="45"/>
      <c r="E436" s="57"/>
      <c r="F436" s="50"/>
      <c r="G436" s="46"/>
      <c r="H436" s="75"/>
      <c r="I436" s="76"/>
      <c r="J436" s="10"/>
      <c r="K436" s="10"/>
      <c r="L436" s="10"/>
      <c r="M436" s="9"/>
      <c r="N436" s="926"/>
      <c r="O436" s="900"/>
      <c r="P436" s="901"/>
      <c r="Q436" s="874"/>
      <c r="R436" s="874"/>
      <c r="S436" s="841"/>
      <c r="T436" s="854"/>
    </row>
    <row r="437" spans="1:20">
      <c r="D437" s="45">
        <v>1</v>
      </c>
      <c r="E437" s="57"/>
      <c r="F437" s="50"/>
      <c r="G437" s="46" t="s">
        <v>886</v>
      </c>
      <c r="H437" s="75"/>
      <c r="I437" s="76"/>
      <c r="J437" s="10"/>
      <c r="K437" s="10"/>
      <c r="L437" s="10"/>
      <c r="M437" s="9"/>
      <c r="N437" s="926"/>
      <c r="O437" s="900"/>
      <c r="P437" s="901"/>
      <c r="Q437" s="874"/>
      <c r="R437" s="874"/>
      <c r="S437" s="841"/>
      <c r="T437" s="854"/>
    </row>
    <row r="438" spans="1:20">
      <c r="D438" s="49" t="s">
        <v>20</v>
      </c>
      <c r="E438" s="24"/>
      <c r="F438" s="60"/>
      <c r="G438" s="12" t="s">
        <v>885</v>
      </c>
      <c r="H438" s="37"/>
      <c r="I438" s="21"/>
      <c r="J438" s="10"/>
      <c r="K438" s="10"/>
      <c r="L438" s="10"/>
      <c r="M438" s="9"/>
      <c r="N438" s="926"/>
      <c r="O438" s="900"/>
      <c r="P438" s="901"/>
      <c r="Q438" s="874"/>
      <c r="R438" s="874"/>
      <c r="S438" s="841"/>
      <c r="T438" s="854"/>
    </row>
    <row r="439" spans="1:20" s="610" customFormat="1" ht="25.5">
      <c r="A439" s="915"/>
      <c r="B439" s="919"/>
      <c r="C439" s="913" t="s">
        <v>2458</v>
      </c>
      <c r="D439" s="49" t="s">
        <v>153</v>
      </c>
      <c r="E439" s="24" t="s">
        <v>883</v>
      </c>
      <c r="F439" s="60"/>
      <c r="G439" s="12" t="s">
        <v>884</v>
      </c>
      <c r="H439" s="7" t="s">
        <v>326</v>
      </c>
      <c r="I439" s="21">
        <v>1</v>
      </c>
      <c r="J439" s="10">
        <v>13997.37</v>
      </c>
      <c r="K439" s="9">
        <f>J439*$S$3</f>
        <v>18336.554700000001</v>
      </c>
      <c r="L439" s="10">
        <v>16.8</v>
      </c>
      <c r="M439" s="9">
        <f t="shared" si="31"/>
        <v>21417.1</v>
      </c>
      <c r="N439" s="899">
        <v>0</v>
      </c>
      <c r="O439" s="900">
        <f t="shared" si="33"/>
        <v>1</v>
      </c>
      <c r="P439" s="901">
        <f t="shared" si="32"/>
        <v>21417.1</v>
      </c>
      <c r="Q439" s="873"/>
      <c r="R439" s="873"/>
      <c r="S439" s="840"/>
      <c r="T439" s="853"/>
    </row>
    <row r="440" spans="1:20" s="610" customFormat="1" ht="38.25">
      <c r="A440" s="915"/>
      <c r="B440" s="919"/>
      <c r="C440" s="913" t="s">
        <v>2458</v>
      </c>
      <c r="D440" s="49" t="s">
        <v>151</v>
      </c>
      <c r="E440" s="24" t="s">
        <v>881</v>
      </c>
      <c r="F440" s="60"/>
      <c r="G440" s="12" t="s">
        <v>882</v>
      </c>
      <c r="H440" s="7" t="s">
        <v>326</v>
      </c>
      <c r="I440" s="21">
        <v>1</v>
      </c>
      <c r="J440" s="10">
        <v>32284</v>
      </c>
      <c r="K440" s="9">
        <f>J440*$S$3</f>
        <v>42292.04</v>
      </c>
      <c r="L440" s="10">
        <v>16.8</v>
      </c>
      <c r="M440" s="9">
        <f t="shared" si="31"/>
        <v>49397.1</v>
      </c>
      <c r="N440" s="899">
        <v>0</v>
      </c>
      <c r="O440" s="900">
        <f t="shared" si="33"/>
        <v>1</v>
      </c>
      <c r="P440" s="901">
        <f t="shared" si="32"/>
        <v>49397.1</v>
      </c>
      <c r="Q440" s="873"/>
      <c r="R440" s="873"/>
      <c r="S440" s="840"/>
      <c r="T440" s="853"/>
    </row>
    <row r="441" spans="1:20" s="610" customFormat="1" ht="51">
      <c r="A441" s="915"/>
      <c r="B441" s="919"/>
      <c r="C441" s="913" t="s">
        <v>2458</v>
      </c>
      <c r="D441" s="49" t="s">
        <v>149</v>
      </c>
      <c r="E441" s="24" t="s">
        <v>879</v>
      </c>
      <c r="F441" s="60"/>
      <c r="G441" s="12" t="s">
        <v>880</v>
      </c>
      <c r="H441" s="7" t="s">
        <v>326</v>
      </c>
      <c r="I441" s="21">
        <v>1</v>
      </c>
      <c r="J441" s="10">
        <v>52325.69</v>
      </c>
      <c r="K441" s="9">
        <f>J441*$S$3</f>
        <v>68546.653900000005</v>
      </c>
      <c r="L441" s="10">
        <v>16.8</v>
      </c>
      <c r="M441" s="9">
        <f t="shared" si="31"/>
        <v>80062.490000000005</v>
      </c>
      <c r="N441" s="899">
        <v>0</v>
      </c>
      <c r="O441" s="900">
        <f t="shared" si="33"/>
        <v>1</v>
      </c>
      <c r="P441" s="901">
        <f t="shared" si="32"/>
        <v>80062.490000000005</v>
      </c>
      <c r="Q441" s="873"/>
      <c r="R441" s="873"/>
      <c r="S441" s="840"/>
      <c r="T441" s="853"/>
    </row>
    <row r="442" spans="1:20" s="610" customFormat="1" ht="51">
      <c r="A442" s="915"/>
      <c r="B442" s="919"/>
      <c r="C442" s="913" t="s">
        <v>2458</v>
      </c>
      <c r="D442" s="49" t="s">
        <v>240</v>
      </c>
      <c r="E442" s="24" t="s">
        <v>877</v>
      </c>
      <c r="F442" s="60"/>
      <c r="G442" s="12" t="s">
        <v>878</v>
      </c>
      <c r="H442" s="7" t="s">
        <v>326</v>
      </c>
      <c r="I442" s="21">
        <v>1</v>
      </c>
      <c r="J442" s="10">
        <v>52325.69</v>
      </c>
      <c r="K442" s="9">
        <f>J442*$S$3</f>
        <v>68546.653900000005</v>
      </c>
      <c r="L442" s="10">
        <v>16.8</v>
      </c>
      <c r="M442" s="9">
        <f t="shared" si="31"/>
        <v>80062.490000000005</v>
      </c>
      <c r="N442" s="899">
        <v>0</v>
      </c>
      <c r="O442" s="900">
        <f t="shared" si="33"/>
        <v>1</v>
      </c>
      <c r="P442" s="901">
        <f t="shared" si="32"/>
        <v>80062.490000000005</v>
      </c>
      <c r="Q442" s="873"/>
      <c r="R442" s="873"/>
      <c r="S442" s="840"/>
      <c r="T442" s="853"/>
    </row>
    <row r="443" spans="1:20" s="318" customFormat="1">
      <c r="A443" s="915"/>
      <c r="B443" s="919"/>
      <c r="C443" s="913"/>
      <c r="D443" s="49" t="s">
        <v>19</v>
      </c>
      <c r="E443" s="822"/>
      <c r="F443" s="355"/>
      <c r="G443" s="12" t="s">
        <v>182</v>
      </c>
      <c r="H443" s="196"/>
      <c r="I443" s="219"/>
      <c r="J443" s="10"/>
      <c r="K443" s="10"/>
      <c r="L443" s="10"/>
      <c r="M443" s="9"/>
      <c r="N443" s="899"/>
      <c r="O443" s="900"/>
      <c r="P443" s="901"/>
      <c r="Q443" s="874"/>
      <c r="R443" s="874"/>
      <c r="S443" s="841"/>
      <c r="T443" s="854"/>
    </row>
    <row r="444" spans="1:20" s="610" customFormat="1" ht="51">
      <c r="A444" s="915"/>
      <c r="B444" s="919"/>
      <c r="C444" s="913" t="s">
        <v>2458</v>
      </c>
      <c r="D444" s="49" t="s">
        <v>147</v>
      </c>
      <c r="E444" s="24" t="s">
        <v>229</v>
      </c>
      <c r="F444" s="60"/>
      <c r="G444" s="114" t="s">
        <v>784</v>
      </c>
      <c r="H444" s="7" t="s">
        <v>110</v>
      </c>
      <c r="I444" s="21">
        <v>60</v>
      </c>
      <c r="J444" s="10">
        <v>4.26</v>
      </c>
      <c r="K444" s="9">
        <f>J444*$S$3</f>
        <v>5.5805999999999996</v>
      </c>
      <c r="L444" s="10">
        <v>16.8</v>
      </c>
      <c r="M444" s="9">
        <f t="shared" si="31"/>
        <v>6.52</v>
      </c>
      <c r="N444" s="899">
        <v>0</v>
      </c>
      <c r="O444" s="900">
        <f t="shared" si="33"/>
        <v>60</v>
      </c>
      <c r="P444" s="901">
        <f t="shared" si="32"/>
        <v>391.2</v>
      </c>
      <c r="Q444" s="873"/>
      <c r="R444" s="873"/>
      <c r="S444" s="840"/>
      <c r="T444" s="853"/>
    </row>
    <row r="445" spans="1:20" s="610" customFormat="1" ht="38.25">
      <c r="A445" s="915"/>
      <c r="B445" s="919"/>
      <c r="C445" s="913" t="s">
        <v>2458</v>
      </c>
      <c r="D445" s="49" t="s">
        <v>213</v>
      </c>
      <c r="E445" s="826" t="s">
        <v>217</v>
      </c>
      <c r="F445" s="23"/>
      <c r="G445" s="130" t="s">
        <v>876</v>
      </c>
      <c r="H445" s="7" t="s">
        <v>110</v>
      </c>
      <c r="I445" s="21">
        <v>35</v>
      </c>
      <c r="J445" s="10">
        <v>6.51</v>
      </c>
      <c r="K445" s="9">
        <f>J445*$S$3</f>
        <v>8.5281000000000002</v>
      </c>
      <c r="L445" s="10">
        <v>16.8</v>
      </c>
      <c r="M445" s="9">
        <f t="shared" si="31"/>
        <v>9.9600000000000009</v>
      </c>
      <c r="N445" s="899">
        <v>0</v>
      </c>
      <c r="O445" s="900">
        <f t="shared" si="33"/>
        <v>35</v>
      </c>
      <c r="P445" s="901">
        <f t="shared" si="32"/>
        <v>348.6</v>
      </c>
      <c r="Q445" s="873"/>
      <c r="R445" s="873"/>
      <c r="S445" s="840"/>
      <c r="T445" s="853"/>
    </row>
    <row r="446" spans="1:20">
      <c r="D446" s="49" t="s">
        <v>18</v>
      </c>
      <c r="E446" s="24"/>
      <c r="F446" s="60"/>
      <c r="G446" s="114" t="s">
        <v>168</v>
      </c>
      <c r="H446" s="7"/>
      <c r="I446" s="21"/>
      <c r="J446" s="10"/>
      <c r="K446" s="10"/>
      <c r="L446" s="10"/>
      <c r="M446" s="9"/>
      <c r="N446" s="899"/>
      <c r="O446" s="900"/>
      <c r="P446" s="901"/>
      <c r="Q446" s="874"/>
      <c r="R446" s="874"/>
      <c r="S446" s="841"/>
      <c r="T446" s="854"/>
    </row>
    <row r="447" spans="1:20" s="344" customFormat="1" ht="25.5">
      <c r="A447" s="915"/>
      <c r="B447" s="919"/>
      <c r="C447" s="913"/>
      <c r="D447" s="49" t="s">
        <v>201</v>
      </c>
      <c r="E447" s="57">
        <f>'[3]Plan Tron'!B238</f>
        <v>2638</v>
      </c>
      <c r="F447" s="805" t="str">
        <f>'[3]Plan Tron'!C238</f>
        <v>SINAPI (INSUMO)</v>
      </c>
      <c r="G447" s="643" t="str">
        <f>'[3]Plan Tron'!D238</f>
        <v xml:space="preserve">LUVA PARA ELETRODUTO, EM ACO GALVANIZADO ELETROLITICO, DIAMETRO DE 25 MM (1") </v>
      </c>
      <c r="H447" s="57" t="str">
        <f>'[3]Plan Tron'!E238</f>
        <v>UN</v>
      </c>
      <c r="I447" s="21">
        <v>12</v>
      </c>
      <c r="J447" s="10">
        <v>1.03</v>
      </c>
      <c r="K447" s="10">
        <f>'[3]Plan Tron'!F238</f>
        <v>1.1000000000000001</v>
      </c>
      <c r="L447" s="10">
        <v>16.8</v>
      </c>
      <c r="M447" s="9">
        <f t="shared" si="31"/>
        <v>1.28</v>
      </c>
      <c r="N447" s="899">
        <v>0</v>
      </c>
      <c r="O447" s="900">
        <f t="shared" si="33"/>
        <v>12</v>
      </c>
      <c r="P447" s="901">
        <f t="shared" si="32"/>
        <v>15.36</v>
      </c>
      <c r="Q447" s="874"/>
      <c r="R447" s="874"/>
      <c r="S447" s="841"/>
      <c r="T447" s="854"/>
    </row>
    <row r="448" spans="1:20" s="344" customFormat="1" ht="25.5">
      <c r="A448" s="915"/>
      <c r="B448" s="919"/>
      <c r="C448" s="913"/>
      <c r="D448" s="49" t="s">
        <v>198</v>
      </c>
      <c r="E448" s="57">
        <f>'[3]Plan Tron'!B239</f>
        <v>2504</v>
      </c>
      <c r="F448" s="805" t="str">
        <f>'[3]Plan Tron'!C239</f>
        <v>SINAPI (INSUMO)</v>
      </c>
      <c r="G448" s="643" t="str">
        <f>'[3]Plan Tron'!D239</f>
        <v>ELETRODUTO FLEXIVEL, EM ACO GALVANIZADO, REVESTIDO EXTERNAMENTE COM PVC PRETO, DIAMETRO EXTERNO DE 25 MM (3/4"), TIPO SEALTUBO</v>
      </c>
      <c r="H448" s="57" t="str">
        <f>'[3]Plan Tron'!E239</f>
        <v>M</v>
      </c>
      <c r="I448" s="51">
        <v>2</v>
      </c>
      <c r="J448" s="10">
        <v>10.67</v>
      </c>
      <c r="K448" s="10">
        <f>'[3]Plan Tron'!F239</f>
        <v>5.69</v>
      </c>
      <c r="L448" s="10">
        <v>16.8</v>
      </c>
      <c r="M448" s="9">
        <f t="shared" si="31"/>
        <v>6.65</v>
      </c>
      <c r="N448" s="899">
        <v>0</v>
      </c>
      <c r="O448" s="900">
        <f t="shared" si="33"/>
        <v>2</v>
      </c>
      <c r="P448" s="901">
        <f t="shared" si="32"/>
        <v>13.3</v>
      </c>
      <c r="Q448" s="874"/>
      <c r="R448" s="874"/>
      <c r="S448" s="841"/>
      <c r="T448" s="854"/>
    </row>
    <row r="449" spans="1:20">
      <c r="D449" s="49"/>
      <c r="E449" s="57"/>
      <c r="F449" s="50"/>
      <c r="G449" s="12"/>
      <c r="H449" s="7"/>
      <c r="I449" s="51"/>
      <c r="J449" s="10"/>
      <c r="K449" s="10"/>
      <c r="L449" s="10"/>
      <c r="M449" s="9"/>
      <c r="N449" s="899"/>
      <c r="O449" s="900"/>
      <c r="P449" s="901"/>
      <c r="Q449" s="874"/>
      <c r="R449" s="874"/>
      <c r="S449" s="841"/>
      <c r="T449" s="854"/>
    </row>
    <row r="450" spans="1:20">
      <c r="D450" s="49"/>
      <c r="E450" s="57"/>
      <c r="F450" s="50"/>
      <c r="G450" s="12"/>
      <c r="H450" s="7"/>
      <c r="I450" s="51"/>
      <c r="J450" s="10"/>
      <c r="K450" s="10"/>
      <c r="L450" s="10"/>
      <c r="M450" s="9"/>
      <c r="N450" s="899"/>
      <c r="O450" s="900"/>
      <c r="P450" s="901"/>
      <c r="Q450" s="874"/>
      <c r="R450" s="874"/>
      <c r="S450" s="841"/>
      <c r="T450" s="854"/>
    </row>
    <row r="451" spans="1:20" s="610" customFormat="1" hidden="1">
      <c r="A451" s="915"/>
      <c r="B451" s="919"/>
      <c r="C451" s="913" t="s">
        <v>2458</v>
      </c>
      <c r="D451" s="49" t="s">
        <v>390</v>
      </c>
      <c r="E451" s="57" t="s">
        <v>874</v>
      </c>
      <c r="F451" s="50"/>
      <c r="G451" s="12" t="s">
        <v>875</v>
      </c>
      <c r="H451" s="7" t="s">
        <v>158</v>
      </c>
      <c r="I451" s="51">
        <v>4</v>
      </c>
      <c r="J451" s="10">
        <v>8.6999999999999993</v>
      </c>
      <c r="K451" s="10"/>
      <c r="L451" s="10">
        <v>16.8</v>
      </c>
      <c r="M451" s="9">
        <f t="shared" si="31"/>
        <v>0</v>
      </c>
      <c r="N451" s="899">
        <v>0</v>
      </c>
      <c r="O451" s="900">
        <f t="shared" si="33"/>
        <v>4</v>
      </c>
      <c r="P451" s="901">
        <f t="shared" si="32"/>
        <v>0</v>
      </c>
      <c r="Q451" s="873"/>
      <c r="R451" s="873"/>
      <c r="S451" s="840"/>
      <c r="T451" s="853"/>
    </row>
    <row r="452" spans="1:20" s="610" customFormat="1" hidden="1">
      <c r="A452" s="915"/>
      <c r="B452" s="919"/>
      <c r="C452" s="913" t="s">
        <v>2458</v>
      </c>
      <c r="D452" s="49" t="s">
        <v>387</v>
      </c>
      <c r="E452" s="57" t="s">
        <v>872</v>
      </c>
      <c r="F452" s="50"/>
      <c r="G452" s="12" t="s">
        <v>873</v>
      </c>
      <c r="H452" s="7" t="s">
        <v>158</v>
      </c>
      <c r="I452" s="51">
        <v>4</v>
      </c>
      <c r="J452" s="10">
        <v>9.85</v>
      </c>
      <c r="K452" s="10"/>
      <c r="L452" s="10">
        <v>16.8</v>
      </c>
      <c r="M452" s="9">
        <f t="shared" si="31"/>
        <v>0</v>
      </c>
      <c r="N452" s="899">
        <v>0</v>
      </c>
      <c r="O452" s="900">
        <f t="shared" si="33"/>
        <v>4</v>
      </c>
      <c r="P452" s="901">
        <f t="shared" si="32"/>
        <v>0</v>
      </c>
      <c r="Q452" s="873"/>
      <c r="R452" s="873"/>
      <c r="S452" s="840"/>
      <c r="T452" s="853"/>
    </row>
    <row r="453" spans="1:20" s="344" customFormat="1" ht="25.5">
      <c r="A453" s="915"/>
      <c r="B453" s="919"/>
      <c r="C453" s="913"/>
      <c r="D453" s="49" t="s">
        <v>384</v>
      </c>
      <c r="E453" s="57">
        <f>'[3]Plan Tron'!B239</f>
        <v>2504</v>
      </c>
      <c r="F453" s="805" t="str">
        <f>'[3]Plan Tron'!C239</f>
        <v>SINAPI (INSUMO)</v>
      </c>
      <c r="G453" s="643" t="str">
        <f>'[3]Plan Tron'!D239</f>
        <v>ELETRODUTO FLEXIVEL, EM ACO GALVANIZADO, REVESTIDO EXTERNAMENTE COM PVC PRETO, DIAMETRO EXTERNO DE 25 MM (3/4"), TIPO SEALTUBO</v>
      </c>
      <c r="H453" s="57" t="str">
        <f>'[3]Plan Tron'!E239</f>
        <v>M</v>
      </c>
      <c r="I453" s="51">
        <v>2</v>
      </c>
      <c r="J453" s="10">
        <v>22.94</v>
      </c>
      <c r="K453" s="10">
        <f>'[3]Plan Tron'!F239</f>
        <v>5.69</v>
      </c>
      <c r="L453" s="10">
        <v>16.8</v>
      </c>
      <c r="M453" s="9">
        <f t="shared" si="31"/>
        <v>6.65</v>
      </c>
      <c r="N453" s="899">
        <v>0</v>
      </c>
      <c r="O453" s="900">
        <f t="shared" si="33"/>
        <v>2</v>
      </c>
      <c r="P453" s="901">
        <f t="shared" si="32"/>
        <v>13.3</v>
      </c>
      <c r="Q453" s="874"/>
      <c r="R453" s="874"/>
      <c r="S453" s="841"/>
      <c r="T453" s="854"/>
    </row>
    <row r="454" spans="1:20" s="344" customFormat="1" ht="25.5">
      <c r="A454" s="915"/>
      <c r="B454" s="919"/>
      <c r="C454" s="913"/>
      <c r="D454" s="49" t="s">
        <v>381</v>
      </c>
      <c r="E454" s="57">
        <f>'[3]Plan Tron'!B240</f>
        <v>2570</v>
      </c>
      <c r="F454" s="805" t="str">
        <f>'[3]Plan Tron'!C240</f>
        <v>SINAPI (INSUMO)</v>
      </c>
      <c r="G454" s="643" t="str">
        <f>'[3]Plan Tron'!D240</f>
        <v xml:space="preserve">CONDULETE DE ALUMINIO TIPO LR, PARA ELETRODUTO ROSCAVEL DE 1", COM TAMPA CEGA </v>
      </c>
      <c r="H454" s="57" t="str">
        <f>'[3]Plan Tron'!E240</f>
        <v>UN.</v>
      </c>
      <c r="I454" s="51">
        <v>4</v>
      </c>
      <c r="J454" s="10">
        <v>7.64</v>
      </c>
      <c r="K454" s="10">
        <f>'[3]Plan Tron'!F240</f>
        <v>9.4600000000000009</v>
      </c>
      <c r="L454" s="10">
        <v>16.8</v>
      </c>
      <c r="M454" s="9">
        <f t="shared" si="31"/>
        <v>11.05</v>
      </c>
      <c r="N454" s="899">
        <v>0</v>
      </c>
      <c r="O454" s="900">
        <f t="shared" si="33"/>
        <v>4</v>
      </c>
      <c r="P454" s="901">
        <f t="shared" si="32"/>
        <v>44.2</v>
      </c>
      <c r="Q454" s="874"/>
      <c r="R454" s="874"/>
      <c r="S454" s="841"/>
      <c r="T454" s="854"/>
    </row>
    <row r="455" spans="1:20" s="800" customFormat="1" ht="25.5">
      <c r="A455" s="915"/>
      <c r="B455" s="919"/>
      <c r="C455" s="913"/>
      <c r="D455" s="49" t="s">
        <v>378</v>
      </c>
      <c r="E455" s="57">
        <v>4362</v>
      </c>
      <c r="F455" s="805" t="s">
        <v>2017</v>
      </c>
      <c r="G455" s="12" t="s">
        <v>871</v>
      </c>
      <c r="H455" s="7" t="s">
        <v>158</v>
      </c>
      <c r="I455" s="51">
        <v>16</v>
      </c>
      <c r="J455" s="10">
        <v>1.31</v>
      </c>
      <c r="K455" s="9">
        <f>J455*$S$3</f>
        <v>1.7161000000000002</v>
      </c>
      <c r="L455" s="10">
        <v>16.8</v>
      </c>
      <c r="M455" s="9">
        <f t="shared" si="31"/>
        <v>2</v>
      </c>
      <c r="N455" s="899">
        <v>0</v>
      </c>
      <c r="O455" s="900">
        <f t="shared" si="33"/>
        <v>16</v>
      </c>
      <c r="P455" s="901">
        <f t="shared" si="32"/>
        <v>32</v>
      </c>
      <c r="Q455" s="875"/>
      <c r="R455" s="875"/>
      <c r="S455" s="844"/>
      <c r="T455" s="857"/>
    </row>
    <row r="456" spans="1:20">
      <c r="D456" s="49" t="s">
        <v>17</v>
      </c>
      <c r="E456" s="57"/>
      <c r="F456" s="50"/>
      <c r="G456" s="114" t="s">
        <v>870</v>
      </c>
      <c r="H456" s="18"/>
      <c r="I456" s="51"/>
      <c r="J456" s="10"/>
      <c r="K456" s="10"/>
      <c r="L456" s="10"/>
      <c r="M456" s="9"/>
      <c r="N456" s="899"/>
      <c r="O456" s="900"/>
      <c r="P456" s="901"/>
      <c r="Q456" s="874"/>
      <c r="R456" s="874"/>
      <c r="S456" s="841"/>
      <c r="T456" s="854"/>
    </row>
    <row r="457" spans="1:20" s="610" customFormat="1" ht="38.25">
      <c r="A457" s="915"/>
      <c r="B457" s="919"/>
      <c r="C457" s="913" t="s">
        <v>2458</v>
      </c>
      <c r="D457" s="49" t="s">
        <v>195</v>
      </c>
      <c r="E457" s="57" t="s">
        <v>868</v>
      </c>
      <c r="F457" s="50"/>
      <c r="G457" s="12" t="s">
        <v>869</v>
      </c>
      <c r="H457" s="7" t="s">
        <v>246</v>
      </c>
      <c r="I457" s="21">
        <v>2</v>
      </c>
      <c r="J457" s="10">
        <v>4500</v>
      </c>
      <c r="K457" s="9">
        <f>J457*$S$3</f>
        <v>5895</v>
      </c>
      <c r="L457" s="10">
        <v>16.8</v>
      </c>
      <c r="M457" s="9">
        <f t="shared" si="31"/>
        <v>6885.36</v>
      </c>
      <c r="N457" s="899">
        <v>0</v>
      </c>
      <c r="O457" s="900">
        <f t="shared" si="33"/>
        <v>2</v>
      </c>
      <c r="P457" s="901">
        <f t="shared" si="32"/>
        <v>13770.72</v>
      </c>
      <c r="Q457" s="873"/>
      <c r="R457" s="873"/>
      <c r="S457" s="840"/>
      <c r="T457" s="853"/>
    </row>
    <row r="458" spans="1:20">
      <c r="D458" s="49" t="s">
        <v>16</v>
      </c>
      <c r="E458" s="24"/>
      <c r="F458" s="60"/>
      <c r="G458" s="12" t="s">
        <v>867</v>
      </c>
      <c r="H458" s="7"/>
      <c r="I458" s="21"/>
      <c r="J458" s="10"/>
      <c r="K458" s="10"/>
      <c r="L458" s="10"/>
      <c r="M458" s="9"/>
      <c r="N458" s="899"/>
      <c r="O458" s="900"/>
      <c r="P458" s="901"/>
      <c r="Q458" s="874"/>
      <c r="R458" s="874"/>
      <c r="S458" s="841"/>
      <c r="T458" s="854"/>
    </row>
    <row r="459" spans="1:20" s="610" customFormat="1" ht="25.5">
      <c r="A459" s="915"/>
      <c r="B459" s="919"/>
      <c r="C459" s="913" t="s">
        <v>2458</v>
      </c>
      <c r="D459" s="49" t="s">
        <v>270</v>
      </c>
      <c r="E459" s="826" t="s">
        <v>768</v>
      </c>
      <c r="F459" s="23"/>
      <c r="G459" s="12" t="s">
        <v>866</v>
      </c>
      <c r="H459" s="18" t="s">
        <v>326</v>
      </c>
      <c r="I459" s="21">
        <v>1</v>
      </c>
      <c r="J459" s="10">
        <v>423.43</v>
      </c>
      <c r="K459" s="9">
        <f>J459*$S$3</f>
        <v>554.69330000000002</v>
      </c>
      <c r="L459" s="10">
        <v>16.8</v>
      </c>
      <c r="M459" s="9">
        <f t="shared" si="31"/>
        <v>647.88</v>
      </c>
      <c r="N459" s="899">
        <v>0</v>
      </c>
      <c r="O459" s="900">
        <f t="shared" si="33"/>
        <v>1</v>
      </c>
      <c r="P459" s="901">
        <f t="shared" si="32"/>
        <v>647.88</v>
      </c>
      <c r="Q459" s="873"/>
      <c r="R459" s="873"/>
      <c r="S459" s="840"/>
      <c r="T459" s="853"/>
    </row>
    <row r="460" spans="1:20">
      <c r="D460" s="49"/>
      <c r="E460" s="57"/>
      <c r="F460" s="50"/>
      <c r="G460" s="12"/>
      <c r="H460" s="7"/>
      <c r="I460" s="21"/>
      <c r="J460" s="10"/>
      <c r="K460" s="10"/>
      <c r="L460" s="10"/>
      <c r="M460" s="9"/>
      <c r="N460" s="926"/>
      <c r="O460" s="900"/>
      <c r="P460" s="901"/>
      <c r="Q460" s="874"/>
      <c r="R460" s="874"/>
      <c r="S460" s="841"/>
      <c r="T460" s="854"/>
    </row>
    <row r="461" spans="1:20">
      <c r="D461" s="49"/>
      <c r="E461" s="57"/>
      <c r="F461" s="50"/>
      <c r="G461" s="56"/>
      <c r="H461" s="18"/>
      <c r="I461" s="51"/>
      <c r="J461" s="20"/>
      <c r="K461" s="20"/>
      <c r="L461" s="20"/>
      <c r="M461" s="9"/>
      <c r="N461" s="936"/>
      <c r="O461" s="900"/>
      <c r="P461" s="901"/>
      <c r="Q461" s="874"/>
      <c r="R461" s="874"/>
      <c r="S461" s="841"/>
      <c r="T461" s="854"/>
    </row>
    <row r="462" spans="1:20" s="299" customFormat="1">
      <c r="A462" s="918"/>
      <c r="B462" s="922"/>
      <c r="C462" s="924"/>
      <c r="D462" s="929"/>
      <c r="E462" s="930"/>
      <c r="F462" s="929"/>
      <c r="G462" s="930" t="s">
        <v>70</v>
      </c>
      <c r="H462" s="929" t="str">
        <f>D433</f>
        <v>15.2</v>
      </c>
      <c r="I462" s="929"/>
      <c r="J462" s="929"/>
      <c r="K462" s="929"/>
      <c r="L462" s="929"/>
      <c r="M462" s="9"/>
      <c r="N462" s="937"/>
      <c r="O462" s="900"/>
      <c r="P462" s="901">
        <f>SUM(P439:P459)</f>
        <v>246215.74</v>
      </c>
      <c r="Q462" s="874"/>
      <c r="R462" s="874"/>
      <c r="S462" s="841"/>
      <c r="T462" s="854"/>
    </row>
    <row r="463" spans="1:20">
      <c r="D463" s="44"/>
      <c r="E463" s="296"/>
      <c r="F463" s="44"/>
      <c r="G463" s="44"/>
      <c r="H463" s="44"/>
      <c r="I463" s="44"/>
      <c r="J463" s="302"/>
      <c r="K463" s="302"/>
      <c r="L463" s="44"/>
      <c r="M463" s="9"/>
      <c r="N463" s="375"/>
      <c r="O463" s="789"/>
      <c r="P463" s="863"/>
      <c r="Q463" s="874"/>
      <c r="R463" s="874"/>
      <c r="S463" s="841"/>
      <c r="T463" s="854"/>
    </row>
    <row r="464" spans="1:20" ht="25.5">
      <c r="D464" s="108">
        <v>17</v>
      </c>
      <c r="E464" s="813"/>
      <c r="F464" s="109"/>
      <c r="G464" s="305" t="s">
        <v>1964</v>
      </c>
      <c r="H464" s="109"/>
      <c r="I464" s="109"/>
      <c r="J464" s="109"/>
      <c r="K464" s="109"/>
      <c r="L464" s="109"/>
      <c r="M464" s="791"/>
      <c r="N464" s="378"/>
      <c r="O464" s="792"/>
      <c r="P464" s="864"/>
      <c r="Q464" s="872"/>
      <c r="R464" s="872"/>
      <c r="S464" s="842"/>
      <c r="T464" s="852"/>
    </row>
    <row r="465" spans="1:20">
      <c r="D465" s="44"/>
      <c r="E465" s="296"/>
      <c r="F465" s="44"/>
      <c r="G465" s="44"/>
      <c r="H465" s="44"/>
      <c r="I465" s="44"/>
      <c r="J465" s="302"/>
      <c r="K465" s="302"/>
      <c r="L465" s="44"/>
      <c r="M465" s="9"/>
      <c r="N465" s="375"/>
      <c r="O465" s="789"/>
      <c r="P465" s="863"/>
      <c r="Q465" s="874"/>
      <c r="R465" s="874"/>
      <c r="S465" s="841"/>
      <c r="T465" s="854"/>
    </row>
    <row r="466" spans="1:20" ht="25.5">
      <c r="D466" s="220"/>
      <c r="E466" s="127"/>
      <c r="F466" s="123"/>
      <c r="G466" s="124" t="s">
        <v>342</v>
      </c>
      <c r="H466" s="146"/>
      <c r="I466" s="121"/>
      <c r="J466" s="324"/>
      <c r="K466" s="324"/>
      <c r="L466" s="120"/>
      <c r="M466" s="9"/>
      <c r="N466" s="375"/>
      <c r="O466" s="789"/>
      <c r="P466" s="863"/>
      <c r="Q466" s="874"/>
      <c r="R466" s="874"/>
      <c r="S466" s="841"/>
      <c r="T466" s="854"/>
    </row>
    <row r="467" spans="1:20">
      <c r="D467" s="220"/>
      <c r="E467" s="127"/>
      <c r="F467" s="123"/>
      <c r="G467" s="124"/>
      <c r="H467" s="146"/>
      <c r="I467" s="121"/>
      <c r="J467" s="324"/>
      <c r="K467" s="324"/>
      <c r="L467" s="120"/>
      <c r="M467" s="9"/>
      <c r="N467" s="375"/>
      <c r="O467" s="789"/>
      <c r="P467" s="863"/>
      <c r="Q467" s="874"/>
      <c r="R467" s="874"/>
      <c r="S467" s="841"/>
      <c r="T467" s="854"/>
    </row>
    <row r="468" spans="1:20">
      <c r="D468" s="122">
        <v>1</v>
      </c>
      <c r="E468" s="127"/>
      <c r="F468" s="123"/>
      <c r="G468" s="124" t="s">
        <v>910</v>
      </c>
      <c r="H468" s="221"/>
      <c r="I468" s="222"/>
      <c r="J468" s="125"/>
      <c r="K468" s="125"/>
      <c r="L468" s="125"/>
      <c r="M468" s="9"/>
      <c r="N468" s="926"/>
      <c r="O468" s="900"/>
      <c r="P468" s="901"/>
      <c r="Q468" s="874"/>
      <c r="R468" s="874"/>
      <c r="S468" s="841"/>
      <c r="T468" s="854"/>
    </row>
    <row r="469" spans="1:20">
      <c r="D469" s="126" t="s">
        <v>20</v>
      </c>
      <c r="E469" s="127"/>
      <c r="F469" s="123"/>
      <c r="G469" s="116" t="s">
        <v>766</v>
      </c>
      <c r="H469" s="223"/>
      <c r="I469" s="224"/>
      <c r="J469" s="225"/>
      <c r="K469" s="225"/>
      <c r="L469" s="225"/>
      <c r="M469" s="9"/>
      <c r="N469" s="926"/>
      <c r="O469" s="900"/>
      <c r="P469" s="901"/>
      <c r="Q469" s="874"/>
      <c r="R469" s="874"/>
      <c r="S469" s="841"/>
      <c r="T469" s="854"/>
    </row>
    <row r="470" spans="1:20" s="885" customFormat="1" ht="25.5">
      <c r="A470" s="915"/>
      <c r="B470" s="919"/>
      <c r="C470" s="913"/>
      <c r="D470" s="126" t="s">
        <v>153</v>
      </c>
      <c r="E470" s="807" t="s">
        <v>908</v>
      </c>
      <c r="F470" s="226"/>
      <c r="G470" s="116" t="s">
        <v>909</v>
      </c>
      <c r="H470" s="119" t="s">
        <v>326</v>
      </c>
      <c r="I470" s="121">
        <v>2</v>
      </c>
      <c r="J470" s="120">
        <v>2560</v>
      </c>
      <c r="K470" s="120">
        <v>5355</v>
      </c>
      <c r="L470" s="120">
        <v>16.8</v>
      </c>
      <c r="M470" s="9">
        <f t="shared" ref="M470:M525" si="35">ROUND(K470*(L470/100+1),2)</f>
        <v>6254.64</v>
      </c>
      <c r="N470" s="899">
        <v>0</v>
      </c>
      <c r="O470" s="900">
        <f t="shared" si="33"/>
        <v>2</v>
      </c>
      <c r="P470" s="901">
        <f t="shared" ref="P470:P525" si="36">ROUND(O470*M470,2)</f>
        <v>12509.28</v>
      </c>
      <c r="Q470" s="882">
        <v>124</v>
      </c>
      <c r="R470" s="882" t="s">
        <v>2423</v>
      </c>
      <c r="S470" s="883"/>
      <c r="T470" s="884"/>
    </row>
    <row r="471" spans="1:20">
      <c r="D471" s="126" t="s">
        <v>19</v>
      </c>
      <c r="E471" s="127"/>
      <c r="F471" s="123"/>
      <c r="G471" s="116" t="s">
        <v>907</v>
      </c>
      <c r="H471" s="227"/>
      <c r="I471" s="228"/>
      <c r="J471" s="356"/>
      <c r="K471" s="356"/>
      <c r="L471" s="120"/>
      <c r="M471" s="9"/>
      <c r="N471" s="899"/>
      <c r="O471" s="900"/>
      <c r="P471" s="901"/>
      <c r="Q471" s="874"/>
      <c r="R471" s="874"/>
      <c r="S471" s="841"/>
      <c r="T471" s="854"/>
    </row>
    <row r="472" spans="1:20" s="344" customFormat="1" ht="25.5">
      <c r="A472" s="915"/>
      <c r="B472" s="919"/>
      <c r="C472" s="913"/>
      <c r="D472" s="126" t="s">
        <v>147</v>
      </c>
      <c r="E472" s="807">
        <f>'[3]Plan Tron'!B241</f>
        <v>10235</v>
      </c>
      <c r="F472" s="807" t="str">
        <f>'[3]Plan Tron'!C241</f>
        <v>SINAPI (INSUMO)</v>
      </c>
      <c r="G472" s="116" t="str">
        <f>'[3]Plan Tron'!D241</f>
        <v>VALVULA DE RETENCAO DE BRONZE, PE COM CRIVOS, EXTREMIDADE COM ROSCA, DE 3", PARA FUNDO DE POCO</v>
      </c>
      <c r="H472" s="119" t="str">
        <f>'[3]Plan Tron'!E241</f>
        <v>UN.</v>
      </c>
      <c r="I472" s="121">
        <v>2</v>
      </c>
      <c r="J472" s="120">
        <v>237.59</v>
      </c>
      <c r="K472" s="120">
        <f>'[3]Plan Tron'!F241</f>
        <v>196.72</v>
      </c>
      <c r="L472" s="120">
        <v>16.8</v>
      </c>
      <c r="M472" s="9">
        <f t="shared" si="35"/>
        <v>229.77</v>
      </c>
      <c r="N472" s="899">
        <v>0</v>
      </c>
      <c r="O472" s="900">
        <f t="shared" si="33"/>
        <v>2</v>
      </c>
      <c r="P472" s="901">
        <f t="shared" si="36"/>
        <v>459.54</v>
      </c>
      <c r="Q472" s="874"/>
      <c r="R472" s="874"/>
      <c r="S472" s="841"/>
      <c r="T472" s="854"/>
    </row>
    <row r="473" spans="1:20" s="610" customFormat="1">
      <c r="A473" s="915"/>
      <c r="B473" s="919" t="s">
        <v>2457</v>
      </c>
      <c r="C473" s="913"/>
      <c r="D473" s="126" t="s">
        <v>213</v>
      </c>
      <c r="E473" s="940" t="s">
        <v>1887</v>
      </c>
      <c r="F473" s="941"/>
      <c r="G473" s="116" t="s">
        <v>906</v>
      </c>
      <c r="H473" s="119" t="s">
        <v>246</v>
      </c>
      <c r="I473" s="121">
        <v>4</v>
      </c>
      <c r="J473" s="120">
        <v>828.2</v>
      </c>
      <c r="K473" s="9">
        <f>J473*$S$3</f>
        <v>1084.942</v>
      </c>
      <c r="L473" s="120">
        <v>16.8</v>
      </c>
      <c r="M473" s="9">
        <f t="shared" si="35"/>
        <v>1267.21</v>
      </c>
      <c r="N473" s="899">
        <v>0</v>
      </c>
      <c r="O473" s="900">
        <f t="shared" si="33"/>
        <v>4</v>
      </c>
      <c r="P473" s="901">
        <f t="shared" si="36"/>
        <v>5068.84</v>
      </c>
      <c r="Q473" s="873"/>
      <c r="R473" s="873"/>
      <c r="S473" s="840"/>
      <c r="T473" s="853"/>
    </row>
    <row r="474" spans="1:20" s="610" customFormat="1">
      <c r="A474" s="915"/>
      <c r="B474" s="919" t="s">
        <v>2457</v>
      </c>
      <c r="C474" s="913"/>
      <c r="D474" s="126" t="s">
        <v>212</v>
      </c>
      <c r="E474" s="940" t="s">
        <v>1888</v>
      </c>
      <c r="F474" s="941"/>
      <c r="G474" s="116" t="s">
        <v>905</v>
      </c>
      <c r="H474" s="119" t="s">
        <v>246</v>
      </c>
      <c r="I474" s="121">
        <v>2</v>
      </c>
      <c r="J474" s="120">
        <v>710.78</v>
      </c>
      <c r="K474" s="9">
        <f>J474*$S$3</f>
        <v>931.12180000000001</v>
      </c>
      <c r="L474" s="120">
        <v>16.8</v>
      </c>
      <c r="M474" s="9">
        <f t="shared" si="35"/>
        <v>1087.55</v>
      </c>
      <c r="N474" s="899">
        <v>0</v>
      </c>
      <c r="O474" s="900">
        <f t="shared" si="33"/>
        <v>2</v>
      </c>
      <c r="P474" s="901">
        <f t="shared" si="36"/>
        <v>2175.1</v>
      </c>
      <c r="Q474" s="873"/>
      <c r="R474" s="873"/>
      <c r="S474" s="840"/>
      <c r="T474" s="853"/>
    </row>
    <row r="475" spans="1:20">
      <c r="D475" s="126" t="s">
        <v>18</v>
      </c>
      <c r="E475" s="127"/>
      <c r="F475" s="123"/>
      <c r="G475" s="116" t="s">
        <v>904</v>
      </c>
      <c r="H475" s="227"/>
      <c r="I475" s="228"/>
      <c r="J475" s="356"/>
      <c r="K475" s="356"/>
      <c r="L475" s="120"/>
      <c r="M475" s="9"/>
      <c r="N475" s="899"/>
      <c r="O475" s="900"/>
      <c r="P475" s="901"/>
      <c r="Q475" s="874"/>
      <c r="R475" s="874"/>
      <c r="S475" s="841"/>
      <c r="T475" s="854"/>
    </row>
    <row r="476" spans="1:20" s="344" customFormat="1" ht="25.5">
      <c r="A476" s="915"/>
      <c r="B476" s="919"/>
      <c r="C476" s="913"/>
      <c r="D476" s="126" t="s">
        <v>201</v>
      </c>
      <c r="E476" s="805">
        <f>'[3]Plan Tron'!B242</f>
        <v>21015</v>
      </c>
      <c r="F476" s="805" t="str">
        <f>'[3]Plan Tron'!C242</f>
        <v>SINAPI (INSUMO)</v>
      </c>
      <c r="G476" s="643" t="str">
        <f>'[3]Plan Tron'!D242</f>
        <v>TUBO ACO GALVANIZADO COM COSTURA, CLASSE LEVE, DN 80 MM ( 3"), E = 3,35 MM, *7,32* KG/M (NBR 5580)</v>
      </c>
      <c r="H476" s="805" t="str">
        <f>'[3]Plan Tron'!E242</f>
        <v>M</v>
      </c>
      <c r="I476" s="121">
        <f>4.1*2</f>
        <v>8.1999999999999993</v>
      </c>
      <c r="J476" s="120">
        <f>ROUND(60.71,2)</f>
        <v>60.71</v>
      </c>
      <c r="K476" s="120">
        <f>'[3]Plan Tron'!F242</f>
        <v>54.19</v>
      </c>
      <c r="L476" s="120">
        <v>16.8</v>
      </c>
      <c r="M476" s="9">
        <f t="shared" si="35"/>
        <v>63.29</v>
      </c>
      <c r="N476" s="899">
        <v>0</v>
      </c>
      <c r="O476" s="900">
        <f t="shared" si="33"/>
        <v>8.1999999999999993</v>
      </c>
      <c r="P476" s="901">
        <f t="shared" si="36"/>
        <v>518.98</v>
      </c>
      <c r="Q476" s="874"/>
      <c r="R476" s="874"/>
      <c r="S476" s="841"/>
      <c r="T476" s="854"/>
    </row>
    <row r="477" spans="1:20" s="344" customFormat="1" ht="25.5">
      <c r="A477" s="915"/>
      <c r="B477" s="919"/>
      <c r="C477" s="913"/>
      <c r="D477" s="126" t="s">
        <v>198</v>
      </c>
      <c r="E477" s="805">
        <f>'[3]Plan Tron'!B243</f>
        <v>21014</v>
      </c>
      <c r="F477" s="805" t="str">
        <f>'[3]Plan Tron'!C243</f>
        <v>SINAPI (INSUMO)</v>
      </c>
      <c r="G477" s="643" t="str">
        <f>'[3]Plan Tron'!D243</f>
        <v>TUBO ACO GALVANIZADO COM COSTURA, CLASSE LEVE, DN 65 MM ( 2 1/2"), E = 3,35 MM, *6,23* KG/M (NBR 5580)</v>
      </c>
      <c r="H477" s="805" t="str">
        <f>'[3]Plan Tron'!E243</f>
        <v>M</v>
      </c>
      <c r="I477" s="121">
        <f>0.25*2</f>
        <v>0.5</v>
      </c>
      <c r="J477" s="120">
        <f>ROUND(47.15,2)</f>
        <v>47.15</v>
      </c>
      <c r="K477" s="120">
        <f>'[3]Plan Tron'!F243</f>
        <v>47.17</v>
      </c>
      <c r="L477" s="120">
        <v>16.8</v>
      </c>
      <c r="M477" s="9">
        <f t="shared" si="35"/>
        <v>55.09</v>
      </c>
      <c r="N477" s="899">
        <v>0</v>
      </c>
      <c r="O477" s="900">
        <f t="shared" si="33"/>
        <v>0.5</v>
      </c>
      <c r="P477" s="901">
        <f t="shared" si="36"/>
        <v>27.55</v>
      </c>
      <c r="Q477" s="874"/>
      <c r="R477" s="874"/>
      <c r="S477" s="841"/>
      <c r="T477" s="854"/>
    </row>
    <row r="478" spans="1:20" s="344" customFormat="1" ht="25.5">
      <c r="A478" s="915"/>
      <c r="B478" s="919"/>
      <c r="C478" s="913"/>
      <c r="D478" s="126" t="s">
        <v>390</v>
      </c>
      <c r="E478" s="805">
        <f>'[3]Plan Tron'!B244</f>
        <v>21012</v>
      </c>
      <c r="F478" s="805" t="str">
        <f>'[3]Plan Tron'!C244</f>
        <v>SINAPI (INSUMO)</v>
      </c>
      <c r="G478" s="643" t="str">
        <f>'[3]Plan Tron'!D244</f>
        <v>TUBO ACO GALVANIZADO COM COSTURA, CLASSE LEVE, DN 40 MM ( 1 1/2"), E = 3,00 MM, *3,48* KG/M (NBR 5580)</v>
      </c>
      <c r="H478" s="805" t="str">
        <f>'[3]Plan Tron'!E244</f>
        <v>M</v>
      </c>
      <c r="I478" s="121">
        <f>0.1*2</f>
        <v>0.2</v>
      </c>
      <c r="J478" s="120">
        <f>ROUND(29.48,2)</f>
        <v>29.48</v>
      </c>
      <c r="K478" s="120">
        <f>'[3]Plan Tron'!F244</f>
        <v>25.83</v>
      </c>
      <c r="L478" s="120">
        <v>16.8</v>
      </c>
      <c r="M478" s="9">
        <f t="shared" si="35"/>
        <v>30.17</v>
      </c>
      <c r="N478" s="899">
        <v>0</v>
      </c>
      <c r="O478" s="900">
        <f t="shared" si="33"/>
        <v>0.2</v>
      </c>
      <c r="P478" s="901">
        <f t="shared" si="36"/>
        <v>6.03</v>
      </c>
      <c r="Q478" s="874"/>
      <c r="R478" s="874"/>
      <c r="S478" s="841"/>
      <c r="T478" s="854"/>
    </row>
    <row r="479" spans="1:20" s="344" customFormat="1" ht="25.5">
      <c r="A479" s="915"/>
      <c r="B479" s="919"/>
      <c r="C479" s="913"/>
      <c r="D479" s="126" t="s">
        <v>387</v>
      </c>
      <c r="E479" s="805">
        <f>'[3]Plan Tron'!B245</f>
        <v>21011</v>
      </c>
      <c r="F479" s="805" t="str">
        <f>'[3]Plan Tron'!C245</f>
        <v>SINAPI (INSUMO)</v>
      </c>
      <c r="G479" s="643" t="str">
        <f>'[3]Plan Tron'!D245</f>
        <v>TUBO ACO GALVANIZADO COM COSTURA, CLASSE LEVE, DN 32 MM ( 1 1/4"), E = 2,65 MM, *2,71* KG/M (NBR 5580)</v>
      </c>
      <c r="H479" s="805" t="str">
        <f>'[3]Plan Tron'!E245</f>
        <v>M</v>
      </c>
      <c r="I479" s="121">
        <f>0.3*2</f>
        <v>0.6</v>
      </c>
      <c r="J479" s="120">
        <f>J476</f>
        <v>60.71</v>
      </c>
      <c r="K479" s="120">
        <f>'[3]Plan Tron'!F245</f>
        <v>23.37</v>
      </c>
      <c r="L479" s="120">
        <v>16.8</v>
      </c>
      <c r="M479" s="9">
        <f t="shared" si="35"/>
        <v>27.3</v>
      </c>
      <c r="N479" s="899">
        <v>0</v>
      </c>
      <c r="O479" s="900">
        <f t="shared" si="33"/>
        <v>0.6</v>
      </c>
      <c r="P479" s="901">
        <f t="shared" si="36"/>
        <v>16.38</v>
      </c>
      <c r="Q479" s="874"/>
      <c r="R479" s="874"/>
      <c r="S479" s="841"/>
      <c r="T479" s="854"/>
    </row>
    <row r="480" spans="1:20" s="344" customFormat="1" ht="25.5">
      <c r="A480" s="915"/>
      <c r="B480" s="919"/>
      <c r="C480" s="913"/>
      <c r="D480" s="126" t="s">
        <v>384</v>
      </c>
      <c r="E480" s="805">
        <f>E478</f>
        <v>21012</v>
      </c>
      <c r="F480" s="805" t="str">
        <f>F478</f>
        <v>SINAPI (INSUMO)</v>
      </c>
      <c r="G480" s="643" t="str">
        <f t="shared" ref="G480:H480" si="37">G478</f>
        <v>TUBO ACO GALVANIZADO COM COSTURA, CLASSE LEVE, DN 40 MM ( 1 1/2"), E = 3,00 MM, *3,48* KG/M (NBR 5580)</v>
      </c>
      <c r="H480" s="805" t="str">
        <f t="shared" si="37"/>
        <v>M</v>
      </c>
      <c r="I480" s="121">
        <v>0.45</v>
      </c>
      <c r="J480" s="120">
        <f>J476</f>
        <v>60.71</v>
      </c>
      <c r="K480" s="120">
        <f>K478</f>
        <v>25.83</v>
      </c>
      <c r="L480" s="120">
        <v>16.8</v>
      </c>
      <c r="M480" s="9">
        <f t="shared" si="35"/>
        <v>30.17</v>
      </c>
      <c r="N480" s="899">
        <v>0</v>
      </c>
      <c r="O480" s="900">
        <f t="shared" si="33"/>
        <v>0.45</v>
      </c>
      <c r="P480" s="901">
        <f t="shared" si="36"/>
        <v>13.58</v>
      </c>
      <c r="Q480" s="874"/>
      <c r="R480" s="874"/>
      <c r="S480" s="841"/>
      <c r="T480" s="854"/>
    </row>
    <row r="481" spans="1:20" s="344" customFormat="1" ht="25.5">
      <c r="A481" s="915"/>
      <c r="B481" s="919"/>
      <c r="C481" s="913"/>
      <c r="D481" s="126" t="s">
        <v>381</v>
      </c>
      <c r="E481" s="805">
        <f>E477</f>
        <v>21014</v>
      </c>
      <c r="F481" s="805" t="str">
        <f>F477</f>
        <v>SINAPI (INSUMO)</v>
      </c>
      <c r="G481" s="643" t="str">
        <f t="shared" ref="G481:H481" si="38">G477</f>
        <v>TUBO ACO GALVANIZADO COM COSTURA, CLASSE LEVE, DN 65 MM ( 2 1/2"), E = 3,35 MM, *6,23* KG/M (NBR 5580)</v>
      </c>
      <c r="H481" s="805" t="str">
        <f t="shared" si="38"/>
        <v>M</v>
      </c>
      <c r="I481" s="121">
        <v>0.68</v>
      </c>
      <c r="J481" s="120">
        <f>J476</f>
        <v>60.71</v>
      </c>
      <c r="K481" s="120">
        <f>K477</f>
        <v>47.17</v>
      </c>
      <c r="L481" s="120">
        <v>16.8</v>
      </c>
      <c r="M481" s="9">
        <f t="shared" si="35"/>
        <v>55.09</v>
      </c>
      <c r="N481" s="899">
        <v>0</v>
      </c>
      <c r="O481" s="900">
        <f t="shared" si="33"/>
        <v>0.68</v>
      </c>
      <c r="P481" s="901">
        <f t="shared" si="36"/>
        <v>37.46</v>
      </c>
      <c r="Q481" s="874"/>
      <c r="R481" s="874"/>
      <c r="S481" s="841"/>
      <c r="T481" s="854"/>
    </row>
    <row r="482" spans="1:20" s="344" customFormat="1" ht="25.5">
      <c r="A482" s="915"/>
      <c r="B482" s="919"/>
      <c r="C482" s="913"/>
      <c r="D482" s="126" t="s">
        <v>378</v>
      </c>
      <c r="E482" s="805">
        <f>'[3]Plan Tron'!B246</f>
        <v>21010</v>
      </c>
      <c r="F482" s="805" t="str">
        <f>'[3]Plan Tron'!C246</f>
        <v>SINAPI (INSUMO)</v>
      </c>
      <c r="G482" s="643" t="str">
        <f>'[3]Plan Tron'!D246</f>
        <v>TUBO ACO GALVANIZADO COM COSTURA, CLASSE LEVE, DN 25 MM ( 1"), E = 2,65 MM, *2,11* KG/M (NBR 5580)</v>
      </c>
      <c r="H482" s="805" t="str">
        <f>'[3]Plan Tron'!E246</f>
        <v>M</v>
      </c>
      <c r="I482" s="121">
        <v>0.25</v>
      </c>
      <c r="J482" s="120">
        <f>J476</f>
        <v>60.71</v>
      </c>
      <c r="K482" s="120">
        <f>'[3]Plan Tron'!F246</f>
        <v>16.04</v>
      </c>
      <c r="L482" s="120">
        <v>16.8</v>
      </c>
      <c r="M482" s="9">
        <f t="shared" si="35"/>
        <v>18.73</v>
      </c>
      <c r="N482" s="899">
        <v>0</v>
      </c>
      <c r="O482" s="900">
        <f t="shared" si="33"/>
        <v>0.25</v>
      </c>
      <c r="P482" s="901">
        <f t="shared" si="36"/>
        <v>4.68</v>
      </c>
      <c r="Q482" s="874"/>
      <c r="R482" s="874"/>
      <c r="S482" s="841"/>
      <c r="T482" s="854"/>
    </row>
    <row r="483" spans="1:20" s="308" customFormat="1" ht="25.5">
      <c r="A483" s="915"/>
      <c r="B483" s="919" t="s">
        <v>2457</v>
      </c>
      <c r="C483" s="913"/>
      <c r="D483" s="126" t="s">
        <v>777</v>
      </c>
      <c r="E483" s="823" t="s">
        <v>898</v>
      </c>
      <c r="F483" s="805" t="s">
        <v>2017</v>
      </c>
      <c r="G483" s="116" t="s">
        <v>902</v>
      </c>
      <c r="H483" s="119" t="s">
        <v>110</v>
      </c>
      <c r="I483" s="121">
        <v>1.05</v>
      </c>
      <c r="J483" s="120">
        <f>J476</f>
        <v>60.71</v>
      </c>
      <c r="K483" s="120">
        <f>J483*$S$3</f>
        <v>79.530100000000004</v>
      </c>
      <c r="L483" s="120">
        <v>16.8</v>
      </c>
      <c r="M483" s="9">
        <f t="shared" si="35"/>
        <v>92.89</v>
      </c>
      <c r="N483" s="899">
        <v>0</v>
      </c>
      <c r="O483" s="900">
        <f t="shared" ref="O483:O546" si="39">I483-N483</f>
        <v>1.05</v>
      </c>
      <c r="P483" s="901">
        <f t="shared" si="36"/>
        <v>97.53</v>
      </c>
      <c r="Q483" s="878"/>
      <c r="R483" s="878"/>
      <c r="S483" s="846"/>
      <c r="T483" s="859"/>
    </row>
    <row r="484" spans="1:20" s="308" customFormat="1" ht="25.5">
      <c r="A484" s="915"/>
      <c r="B484" s="919" t="s">
        <v>2457</v>
      </c>
      <c r="C484" s="913"/>
      <c r="D484" s="126" t="s">
        <v>776</v>
      </c>
      <c r="E484" s="823" t="s">
        <v>898</v>
      </c>
      <c r="F484" s="805" t="s">
        <v>2017</v>
      </c>
      <c r="G484" s="116" t="s">
        <v>901</v>
      </c>
      <c r="H484" s="119" t="s">
        <v>110</v>
      </c>
      <c r="I484" s="121">
        <v>6.4</v>
      </c>
      <c r="J484" s="120">
        <f>J476</f>
        <v>60.71</v>
      </c>
      <c r="K484" s="120">
        <f>J484*$S$3</f>
        <v>79.530100000000004</v>
      </c>
      <c r="L484" s="120">
        <v>16.8</v>
      </c>
      <c r="M484" s="9">
        <f t="shared" si="35"/>
        <v>92.89</v>
      </c>
      <c r="N484" s="899">
        <v>0</v>
      </c>
      <c r="O484" s="900">
        <f t="shared" si="39"/>
        <v>6.4</v>
      </c>
      <c r="P484" s="901">
        <f t="shared" si="36"/>
        <v>594.5</v>
      </c>
      <c r="Q484" s="878"/>
      <c r="R484" s="878"/>
      <c r="S484" s="846"/>
      <c r="T484" s="859"/>
    </row>
    <row r="485" spans="1:20" s="308" customFormat="1" ht="25.5">
      <c r="A485" s="915"/>
      <c r="B485" s="919" t="s">
        <v>2457</v>
      </c>
      <c r="C485" s="913"/>
      <c r="D485" s="126" t="s">
        <v>775</v>
      </c>
      <c r="E485" s="823" t="s">
        <v>898</v>
      </c>
      <c r="F485" s="805" t="s">
        <v>2017</v>
      </c>
      <c r="G485" s="116" t="s">
        <v>900</v>
      </c>
      <c r="H485" s="119" t="s">
        <v>110</v>
      </c>
      <c r="I485" s="121">
        <v>2</v>
      </c>
      <c r="J485" s="120">
        <f>J476</f>
        <v>60.71</v>
      </c>
      <c r="K485" s="120">
        <f>J485*$S$3</f>
        <v>79.530100000000004</v>
      </c>
      <c r="L485" s="120">
        <v>16.8</v>
      </c>
      <c r="M485" s="9">
        <f t="shared" si="35"/>
        <v>92.89</v>
      </c>
      <c r="N485" s="899">
        <v>0</v>
      </c>
      <c r="O485" s="900">
        <f t="shared" si="39"/>
        <v>2</v>
      </c>
      <c r="P485" s="901">
        <f t="shared" si="36"/>
        <v>185.78</v>
      </c>
      <c r="Q485" s="878"/>
      <c r="R485" s="878"/>
      <c r="S485" s="846"/>
      <c r="T485" s="859"/>
    </row>
    <row r="486" spans="1:20" s="344" customFormat="1" ht="25.5">
      <c r="A486" s="915"/>
      <c r="B486" s="919"/>
      <c r="C486" s="913"/>
      <c r="D486" s="126" t="s">
        <v>899</v>
      </c>
      <c r="E486" s="805">
        <f>'[3]Plan Tron'!B247</f>
        <v>21008</v>
      </c>
      <c r="F486" s="805" t="str">
        <f>'[3]Plan Tron'!C247</f>
        <v>SINAPI (INSUMO)</v>
      </c>
      <c r="G486" s="643" t="str">
        <f>'[3]Plan Tron'!D247</f>
        <v>TUBO ACO GALVANIZADO COM COSTURA, CLASSE LEVE, DN 15 MM ( 1/2"), E = 2,25 MM, *1,2* KG/M (NBR 5580)</v>
      </c>
      <c r="H486" s="805" t="str">
        <f>'[3]Plan Tron'!E247</f>
        <v>M</v>
      </c>
      <c r="I486" s="121">
        <v>0.15</v>
      </c>
      <c r="J486" s="120">
        <f>J476</f>
        <v>60.71</v>
      </c>
      <c r="K486" s="120">
        <f>'[3]Plan Tron'!F247</f>
        <v>9.17</v>
      </c>
      <c r="L486" s="120">
        <v>16.8</v>
      </c>
      <c r="M486" s="9">
        <f t="shared" si="35"/>
        <v>10.71</v>
      </c>
      <c r="N486" s="899">
        <v>0</v>
      </c>
      <c r="O486" s="900">
        <f t="shared" si="39"/>
        <v>0.15</v>
      </c>
      <c r="P486" s="901">
        <f t="shared" si="36"/>
        <v>1.61</v>
      </c>
      <c r="Q486" s="874"/>
      <c r="R486" s="874"/>
      <c r="S486" s="841"/>
      <c r="T486" s="854"/>
    </row>
    <row r="487" spans="1:20" s="344" customFormat="1">
      <c r="A487" s="915"/>
      <c r="B487" s="919"/>
      <c r="C487" s="913"/>
      <c r="D487" s="126" t="s">
        <v>17</v>
      </c>
      <c r="E487" s="807"/>
      <c r="F487" s="226"/>
      <c r="G487" s="116" t="s">
        <v>897</v>
      </c>
      <c r="H487" s="119"/>
      <c r="I487" s="121"/>
      <c r="J487" s="120"/>
      <c r="K487" s="120"/>
      <c r="L487" s="120"/>
      <c r="M487" s="9"/>
      <c r="N487" s="899"/>
      <c r="O487" s="900"/>
      <c r="P487" s="901"/>
      <c r="Q487" s="874"/>
      <c r="R487" s="874"/>
      <c r="S487" s="841"/>
      <c r="T487" s="854"/>
    </row>
    <row r="488" spans="1:20" s="344" customFormat="1" ht="25.5">
      <c r="A488" s="915"/>
      <c r="B488" s="919"/>
      <c r="C488" s="913"/>
      <c r="D488" s="126" t="s">
        <v>195</v>
      </c>
      <c r="E488" s="805">
        <f>'[3]Plan Tron'!B248</f>
        <v>1792</v>
      </c>
      <c r="F488" s="805" t="str">
        <f>'[3]Plan Tron'!C248</f>
        <v>SINAPI (INSUMO)</v>
      </c>
      <c r="G488" s="643" t="str">
        <f>'[3]Plan Tron'!D248</f>
        <v xml:space="preserve">CURVA 90 GRAUS DE FERRO GALVANIZADO, COM ROSCA BSP FEMEA, DE 3" </v>
      </c>
      <c r="H488" s="805" t="str">
        <f>'[3]Plan Tron'!E248</f>
        <v>UN</v>
      </c>
      <c r="I488" s="121">
        <v>6</v>
      </c>
      <c r="J488" s="120">
        <v>150.25</v>
      </c>
      <c r="K488" s="120">
        <f>'[3]Plan Tron'!F248</f>
        <v>171.72</v>
      </c>
      <c r="L488" s="120">
        <v>16.8</v>
      </c>
      <c r="M488" s="9">
        <f t="shared" si="35"/>
        <v>200.57</v>
      </c>
      <c r="N488" s="899">
        <v>0</v>
      </c>
      <c r="O488" s="900">
        <f t="shared" si="39"/>
        <v>6</v>
      </c>
      <c r="P488" s="901">
        <f t="shared" si="36"/>
        <v>1203.42</v>
      </c>
      <c r="Q488" s="874"/>
      <c r="R488" s="874"/>
      <c r="S488" s="841"/>
      <c r="T488" s="854"/>
    </row>
    <row r="489" spans="1:20" s="344" customFormat="1" ht="25.5">
      <c r="A489" s="915"/>
      <c r="B489" s="919"/>
      <c r="C489" s="913"/>
      <c r="D489" s="126" t="s">
        <v>192</v>
      </c>
      <c r="E489" s="805">
        <f>'[3]Plan Tron'!B249</f>
        <v>4182</v>
      </c>
      <c r="F489" s="805" t="str">
        <f>'[3]Plan Tron'!C249</f>
        <v>SINAPI (INSUMO)</v>
      </c>
      <c r="G489" s="643" t="str">
        <f>'[3]Plan Tron'!D249</f>
        <v xml:space="preserve">NIPLE DE FERRO GALVANIZADO, COM ROSCA BSP, DE 3" </v>
      </c>
      <c r="H489" s="805" t="str">
        <f>'[3]Plan Tron'!E249</f>
        <v>UN</v>
      </c>
      <c r="I489" s="121">
        <v>6</v>
      </c>
      <c r="J489" s="120">
        <v>39.549999999999997</v>
      </c>
      <c r="K489" s="120">
        <f>'[3]Plan Tron'!F249</f>
        <v>48.54</v>
      </c>
      <c r="L489" s="120">
        <v>16.8</v>
      </c>
      <c r="M489" s="9">
        <f t="shared" si="35"/>
        <v>56.69</v>
      </c>
      <c r="N489" s="899">
        <v>0</v>
      </c>
      <c r="O489" s="900">
        <f t="shared" si="39"/>
        <v>6</v>
      </c>
      <c r="P489" s="901">
        <f t="shared" si="36"/>
        <v>340.14</v>
      </c>
      <c r="Q489" s="874"/>
      <c r="R489" s="874"/>
      <c r="S489" s="841"/>
      <c r="T489" s="854"/>
    </row>
    <row r="490" spans="1:20" s="344" customFormat="1" ht="25.5">
      <c r="A490" s="915"/>
      <c r="B490" s="919"/>
      <c r="C490" s="913"/>
      <c r="D490" s="126" t="s">
        <v>280</v>
      </c>
      <c r="E490" s="805">
        <f>'[3]Plan Tron'!B250</f>
        <v>4202</v>
      </c>
      <c r="F490" s="805" t="str">
        <f>'[3]Plan Tron'!C250</f>
        <v>SINAPI (INSUMO)</v>
      </c>
      <c r="G490" s="643" t="str">
        <f>'[3]Plan Tron'!D250</f>
        <v xml:space="preserve">NIPLE DE REDUCAO DE FERRO GALVANIZADO, COM ROSCA BSP, DE 3" X 2 1/2" </v>
      </c>
      <c r="H490" s="805" t="str">
        <f>'[3]Plan Tron'!E250</f>
        <v>UN</v>
      </c>
      <c r="I490" s="121">
        <v>2</v>
      </c>
      <c r="J490" s="120">
        <v>39.06</v>
      </c>
      <c r="K490" s="120">
        <f>'[3]Plan Tron'!F250</f>
        <v>75.489999999999995</v>
      </c>
      <c r="L490" s="120">
        <v>16.8</v>
      </c>
      <c r="M490" s="9">
        <f t="shared" si="35"/>
        <v>88.17</v>
      </c>
      <c r="N490" s="899">
        <v>0</v>
      </c>
      <c r="O490" s="900">
        <f t="shared" si="39"/>
        <v>2</v>
      </c>
      <c r="P490" s="901">
        <f t="shared" si="36"/>
        <v>176.34</v>
      </c>
      <c r="Q490" s="874"/>
      <c r="R490" s="874"/>
      <c r="S490" s="841"/>
      <c r="T490" s="854"/>
    </row>
    <row r="491" spans="1:20" s="344" customFormat="1" ht="25.5">
      <c r="A491" s="915"/>
      <c r="B491" s="919"/>
      <c r="C491" s="913"/>
      <c r="D491" s="126" t="s">
        <v>277</v>
      </c>
      <c r="E491" s="805">
        <f>'[3]Plan Tron'!B251</f>
        <v>3913</v>
      </c>
      <c r="F491" s="805" t="str">
        <f>'[3]Plan Tron'!C251</f>
        <v>SINAPI (INSUMO)</v>
      </c>
      <c r="G491" s="643" t="str">
        <f>'[3]Plan Tron'!D251</f>
        <v xml:space="preserve">LUVA DE FERRO GALVANIZADO, COM ROSCA BSP, DE 2 1/2" </v>
      </c>
      <c r="H491" s="805" t="str">
        <f>'[3]Plan Tron'!E251</f>
        <v>UN</v>
      </c>
      <c r="I491" s="121">
        <v>2</v>
      </c>
      <c r="J491" s="120">
        <v>35.380000000000003</v>
      </c>
      <c r="K491" s="120">
        <f>'[3]Plan Tron'!F251</f>
        <v>35.54</v>
      </c>
      <c r="L491" s="120">
        <v>16.8</v>
      </c>
      <c r="M491" s="9">
        <f t="shared" si="35"/>
        <v>41.51</v>
      </c>
      <c r="N491" s="899">
        <v>0</v>
      </c>
      <c r="O491" s="900">
        <f t="shared" si="39"/>
        <v>2</v>
      </c>
      <c r="P491" s="901">
        <f t="shared" si="36"/>
        <v>83.02</v>
      </c>
      <c r="Q491" s="874"/>
      <c r="R491" s="874"/>
      <c r="S491" s="841"/>
      <c r="T491" s="854"/>
    </row>
    <row r="492" spans="1:20" s="344" customFormat="1" ht="25.5">
      <c r="A492" s="915"/>
      <c r="B492" s="919"/>
      <c r="C492" s="913"/>
      <c r="D492" s="126" t="s">
        <v>275</v>
      </c>
      <c r="E492" s="805">
        <f>'[3]Plan Tron'!B252</f>
        <v>3929</v>
      </c>
      <c r="F492" s="805" t="str">
        <f>'[3]Plan Tron'!C252</f>
        <v>SINAPI (INSUMO)</v>
      </c>
      <c r="G492" s="805" t="str">
        <f>'[3]Plan Tron'!D252</f>
        <v xml:space="preserve">LUVA DE REDUCAO DE FERRO GALVANIZADO, COM ROSCA BSP, DE 3" X 1 1/2" </v>
      </c>
      <c r="H492" s="805" t="str">
        <f>'[3]Plan Tron'!E252</f>
        <v>UN</v>
      </c>
      <c r="I492" s="121">
        <v>2</v>
      </c>
      <c r="J492" s="120">
        <v>50.49</v>
      </c>
      <c r="K492" s="120">
        <f>'[3]Plan Tron'!F252</f>
        <v>57.82</v>
      </c>
      <c r="L492" s="120">
        <v>16.8</v>
      </c>
      <c r="M492" s="9">
        <f t="shared" si="35"/>
        <v>67.53</v>
      </c>
      <c r="N492" s="899">
        <v>0</v>
      </c>
      <c r="O492" s="900">
        <f t="shared" si="39"/>
        <v>2</v>
      </c>
      <c r="P492" s="901">
        <f t="shared" si="36"/>
        <v>135.06</v>
      </c>
      <c r="Q492" s="874"/>
      <c r="R492" s="874"/>
      <c r="S492" s="841"/>
      <c r="T492" s="854"/>
    </row>
    <row r="493" spans="1:20" s="344" customFormat="1" ht="25.5">
      <c r="A493" s="915"/>
      <c r="B493" s="919"/>
      <c r="C493" s="913"/>
      <c r="D493" s="126" t="s">
        <v>274</v>
      </c>
      <c r="E493" s="805">
        <f>'[3]Plan Tron'!B253</f>
        <v>3914</v>
      </c>
      <c r="F493" s="805" t="str">
        <f>'[3]Plan Tron'!C253</f>
        <v>SINAPI (INSUMO)</v>
      </c>
      <c r="G493" s="643" t="str">
        <f>'[3]Plan Tron'!D253</f>
        <v xml:space="preserve"> LUVA DE FERRO GALVANIZADO, COM ROSCA BSP, DE 3" </v>
      </c>
      <c r="H493" s="805" t="str">
        <f>'[3]Plan Tron'!E253</f>
        <v>UN</v>
      </c>
      <c r="I493" s="121">
        <v>2</v>
      </c>
      <c r="J493" s="120">
        <v>52.19</v>
      </c>
      <c r="K493" s="120">
        <f>'[3]Plan Tron'!F253</f>
        <v>53.61</v>
      </c>
      <c r="L493" s="120">
        <v>16.8</v>
      </c>
      <c r="M493" s="9">
        <f t="shared" si="35"/>
        <v>62.62</v>
      </c>
      <c r="N493" s="899">
        <v>0</v>
      </c>
      <c r="O493" s="900">
        <f t="shared" si="39"/>
        <v>2</v>
      </c>
      <c r="P493" s="901">
        <f t="shared" si="36"/>
        <v>125.24</v>
      </c>
      <c r="Q493" s="874"/>
      <c r="R493" s="874"/>
      <c r="S493" s="841"/>
      <c r="T493" s="854"/>
    </row>
    <row r="494" spans="1:20">
      <c r="D494" s="126"/>
      <c r="E494" s="823"/>
      <c r="F494" s="229"/>
      <c r="G494" s="116"/>
      <c r="H494" s="119"/>
      <c r="I494" s="121"/>
      <c r="J494" s="120"/>
      <c r="K494" s="120"/>
      <c r="L494" s="120"/>
      <c r="M494" s="9"/>
      <c r="N494" s="899"/>
      <c r="O494" s="900"/>
      <c r="P494" s="901"/>
      <c r="Q494" s="874"/>
      <c r="R494" s="874"/>
      <c r="S494" s="841"/>
      <c r="T494" s="854"/>
    </row>
    <row r="495" spans="1:20">
      <c r="D495" s="126"/>
      <c r="E495" s="823"/>
      <c r="F495" s="229"/>
      <c r="G495" s="116"/>
      <c r="H495" s="119"/>
      <c r="I495" s="121"/>
      <c r="J495" s="120"/>
      <c r="K495" s="120"/>
      <c r="L495" s="120"/>
      <c r="M495" s="9"/>
      <c r="N495" s="899"/>
      <c r="O495" s="900"/>
      <c r="P495" s="901"/>
      <c r="Q495" s="874"/>
      <c r="R495" s="874"/>
      <c r="S495" s="841"/>
      <c r="T495" s="854"/>
    </row>
    <row r="496" spans="1:20" s="344" customFormat="1" ht="25.5">
      <c r="A496" s="915"/>
      <c r="B496" s="919"/>
      <c r="C496" s="913"/>
      <c r="D496" s="126" t="s">
        <v>272</v>
      </c>
      <c r="E496" s="805">
        <f>'[3]Plan Tron'!B254</f>
        <v>6322</v>
      </c>
      <c r="F496" s="805" t="str">
        <f>'[3]Plan Tron'!C254</f>
        <v>SINAPI (INSUMO)</v>
      </c>
      <c r="G496" s="643" t="str">
        <f>'[3]Plan Tron'!D254</f>
        <v xml:space="preserve">TE DE FERRO GALVANIZADO, DE 3" </v>
      </c>
      <c r="H496" s="805" t="str">
        <f>'[3]Plan Tron'!E254</f>
        <v>UN</v>
      </c>
      <c r="I496" s="121">
        <v>1</v>
      </c>
      <c r="J496" s="120">
        <v>79.34</v>
      </c>
      <c r="K496" s="120">
        <f>'[3]Plan Tron'!F254</f>
        <v>93.58</v>
      </c>
      <c r="L496" s="120">
        <v>16.8</v>
      </c>
      <c r="M496" s="9">
        <f t="shared" si="35"/>
        <v>109.3</v>
      </c>
      <c r="N496" s="899">
        <v>0</v>
      </c>
      <c r="O496" s="900">
        <f t="shared" si="39"/>
        <v>1</v>
      </c>
      <c r="P496" s="901">
        <f t="shared" si="36"/>
        <v>109.3</v>
      </c>
      <c r="Q496" s="874"/>
      <c r="R496" s="874"/>
      <c r="S496" s="841"/>
      <c r="T496" s="854"/>
    </row>
    <row r="497" spans="1:20" s="344" customFormat="1" ht="25.5">
      <c r="A497" s="915"/>
      <c r="B497" s="919"/>
      <c r="C497" s="913"/>
      <c r="D497" s="126" t="s">
        <v>271</v>
      </c>
      <c r="E497" s="805">
        <f>'[3]Plan Tron'!B255</f>
        <v>12438</v>
      </c>
      <c r="F497" s="805" t="str">
        <f>'[3]Plan Tron'!C255</f>
        <v>SINAPI (INSUMO)</v>
      </c>
      <c r="G497" s="805" t="str">
        <f>'[3]Plan Tron'!D255</f>
        <v xml:space="preserve">UNIAO COM ASSENTO CONICO DE FERRO LONGO (MACHO-FEMEA), DIAMETRO 3' </v>
      </c>
      <c r="H497" s="805" t="str">
        <f>'[3]Plan Tron'!E255</f>
        <v>UN</v>
      </c>
      <c r="I497" s="121">
        <v>1</v>
      </c>
      <c r="J497" s="120">
        <v>125.62</v>
      </c>
      <c r="K497" s="120">
        <f>'[3]Plan Tron'!F255</f>
        <v>234.11</v>
      </c>
      <c r="L497" s="120">
        <v>16.8</v>
      </c>
      <c r="M497" s="9">
        <f t="shared" si="35"/>
        <v>273.44</v>
      </c>
      <c r="N497" s="899">
        <v>0</v>
      </c>
      <c r="O497" s="900">
        <f t="shared" si="39"/>
        <v>1</v>
      </c>
      <c r="P497" s="901">
        <f t="shared" si="36"/>
        <v>273.44</v>
      </c>
      <c r="Q497" s="874"/>
      <c r="R497" s="874"/>
      <c r="S497" s="841"/>
      <c r="T497" s="854"/>
    </row>
    <row r="498" spans="1:20" s="344" customFormat="1" ht="25.5">
      <c r="A498" s="915"/>
      <c r="B498" s="919"/>
      <c r="C498" s="913"/>
      <c r="D498" s="126" t="s">
        <v>896</v>
      </c>
      <c r="E498" s="805">
        <f>'[3]Plan Tron'!B256</f>
        <v>3934</v>
      </c>
      <c r="F498" s="805" t="str">
        <f>'[3]Plan Tron'!C256</f>
        <v>SINAPI (INSUMO)</v>
      </c>
      <c r="G498" s="644" t="str">
        <f>'[3]Plan Tron'!D256</f>
        <v xml:space="preserve">LUVA DE REDUCAO DE FERRO GALVANIZADO, COM ROSCA BSP, DE 4" X 3" </v>
      </c>
      <c r="H498" s="805" t="str">
        <f>'[3]Plan Tron'!E256</f>
        <v>UN</v>
      </c>
      <c r="I498" s="121">
        <v>1</v>
      </c>
      <c r="J498" s="120">
        <v>76.67</v>
      </c>
      <c r="K498" s="120">
        <f>'[3]Plan Tron'!F256</f>
        <v>99.84</v>
      </c>
      <c r="L498" s="120">
        <v>16.8</v>
      </c>
      <c r="M498" s="9">
        <f t="shared" si="35"/>
        <v>116.61</v>
      </c>
      <c r="N498" s="899">
        <v>0</v>
      </c>
      <c r="O498" s="900">
        <f t="shared" si="39"/>
        <v>1</v>
      </c>
      <c r="P498" s="901">
        <f t="shared" si="36"/>
        <v>116.61</v>
      </c>
      <c r="Q498" s="874"/>
      <c r="R498" s="874"/>
      <c r="S498" s="841"/>
      <c r="T498" s="854"/>
    </row>
    <row r="499" spans="1:20">
      <c r="D499" s="126" t="s">
        <v>16</v>
      </c>
      <c r="E499" s="127"/>
      <c r="F499" s="123"/>
      <c r="G499" s="116" t="s">
        <v>895</v>
      </c>
      <c r="H499" s="227"/>
      <c r="I499" s="228"/>
      <c r="J499" s="356"/>
      <c r="K499" s="356"/>
      <c r="L499" s="120"/>
      <c r="M499" s="9"/>
      <c r="N499" s="899"/>
      <c r="O499" s="900"/>
      <c r="P499" s="901"/>
      <c r="Q499" s="874"/>
      <c r="R499" s="874"/>
      <c r="S499" s="841"/>
      <c r="T499" s="854"/>
    </row>
    <row r="500" spans="1:20" s="610" customFormat="1" ht="25.5">
      <c r="A500" s="915"/>
      <c r="B500" s="919" t="s">
        <v>2457</v>
      </c>
      <c r="C500" s="913"/>
      <c r="D500" s="126" t="s">
        <v>270</v>
      </c>
      <c r="E500" s="940" t="s">
        <v>893</v>
      </c>
      <c r="F500" s="941"/>
      <c r="G500" s="116" t="s">
        <v>894</v>
      </c>
      <c r="H500" s="119" t="s">
        <v>246</v>
      </c>
      <c r="I500" s="121">
        <v>1</v>
      </c>
      <c r="J500" s="120">
        <v>37.19</v>
      </c>
      <c r="K500" s="9">
        <f>J500*$S$3</f>
        <v>48.718899999999998</v>
      </c>
      <c r="L500" s="120">
        <v>16.8</v>
      </c>
      <c r="M500" s="9">
        <f t="shared" si="35"/>
        <v>56.9</v>
      </c>
      <c r="N500" s="899">
        <v>0</v>
      </c>
      <c r="O500" s="900">
        <f t="shared" si="39"/>
        <v>1</v>
      </c>
      <c r="P500" s="901">
        <f t="shared" si="36"/>
        <v>56.9</v>
      </c>
      <c r="Q500" s="873"/>
      <c r="R500" s="873"/>
      <c r="S500" s="840"/>
      <c r="T500" s="853"/>
    </row>
    <row r="501" spans="1:20">
      <c r="D501" s="126" t="s">
        <v>15</v>
      </c>
      <c r="E501" s="807"/>
      <c r="F501" s="226"/>
      <c r="G501" s="116" t="s">
        <v>892</v>
      </c>
      <c r="H501" s="119"/>
      <c r="I501" s="121"/>
      <c r="J501" s="120"/>
      <c r="K501" s="120"/>
      <c r="L501" s="120"/>
      <c r="M501" s="9"/>
      <c r="N501" s="899"/>
      <c r="O501" s="900"/>
      <c r="P501" s="901"/>
      <c r="Q501" s="874"/>
      <c r="R501" s="874"/>
      <c r="S501" s="841"/>
      <c r="T501" s="854"/>
    </row>
    <row r="502" spans="1:20" s="610" customFormat="1">
      <c r="A502" s="915"/>
      <c r="B502" s="919" t="s">
        <v>2457</v>
      </c>
      <c r="C502" s="913"/>
      <c r="D502" s="126" t="s">
        <v>249</v>
      </c>
      <c r="E502" s="807" t="s">
        <v>890</v>
      </c>
      <c r="F502" s="226"/>
      <c r="G502" s="116" t="s">
        <v>891</v>
      </c>
      <c r="H502" s="119" t="s">
        <v>246</v>
      </c>
      <c r="I502" s="121">
        <v>1</v>
      </c>
      <c r="J502" s="120">
        <v>82.7</v>
      </c>
      <c r="K502" s="9">
        <f>J502*$S$3</f>
        <v>108.337</v>
      </c>
      <c r="L502" s="120">
        <v>16.8</v>
      </c>
      <c r="M502" s="9">
        <f t="shared" si="35"/>
        <v>126.54</v>
      </c>
      <c r="N502" s="899">
        <v>0</v>
      </c>
      <c r="O502" s="900">
        <f t="shared" si="39"/>
        <v>1</v>
      </c>
      <c r="P502" s="901">
        <f t="shared" si="36"/>
        <v>126.54</v>
      </c>
      <c r="Q502" s="873"/>
      <c r="R502" s="873"/>
      <c r="S502" s="840"/>
      <c r="T502" s="853"/>
    </row>
    <row r="503" spans="1:20">
      <c r="D503" s="126" t="s">
        <v>14</v>
      </c>
      <c r="E503" s="127"/>
      <c r="F503" s="123"/>
      <c r="G503" s="116" t="s">
        <v>889</v>
      </c>
      <c r="H503" s="227"/>
      <c r="I503" s="228"/>
      <c r="J503" s="356"/>
      <c r="K503" s="356"/>
      <c r="L503" s="120"/>
      <c r="M503" s="9"/>
      <c r="N503" s="899"/>
      <c r="O503" s="900"/>
      <c r="P503" s="901"/>
      <c r="Q503" s="874"/>
      <c r="R503" s="874"/>
      <c r="S503" s="841"/>
      <c r="T503" s="854"/>
    </row>
    <row r="504" spans="1:20" s="610" customFormat="1" ht="25.5">
      <c r="A504" s="915"/>
      <c r="B504" s="919" t="s">
        <v>2457</v>
      </c>
      <c r="C504" s="913"/>
      <c r="D504" s="126" t="s">
        <v>181</v>
      </c>
      <c r="E504" s="940" t="s">
        <v>581</v>
      </c>
      <c r="F504" s="941"/>
      <c r="G504" s="116" t="s">
        <v>582</v>
      </c>
      <c r="H504" s="119" t="s">
        <v>326</v>
      </c>
      <c r="I504" s="121">
        <v>1</v>
      </c>
      <c r="J504" s="120">
        <v>59.55</v>
      </c>
      <c r="K504" s="9">
        <f>J504*$S$3</f>
        <v>78.010499999999993</v>
      </c>
      <c r="L504" s="120">
        <v>16.8</v>
      </c>
      <c r="M504" s="9">
        <f t="shared" si="35"/>
        <v>91.12</v>
      </c>
      <c r="N504" s="899">
        <v>0</v>
      </c>
      <c r="O504" s="900">
        <f t="shared" si="39"/>
        <v>1</v>
      </c>
      <c r="P504" s="901">
        <f t="shared" si="36"/>
        <v>91.12</v>
      </c>
      <c r="Q504" s="873"/>
      <c r="R504" s="873"/>
      <c r="S504" s="840"/>
      <c r="T504" s="853"/>
    </row>
    <row r="505" spans="1:20">
      <c r="D505" s="126"/>
      <c r="E505" s="127"/>
      <c r="F505" s="123"/>
      <c r="G505" s="116"/>
      <c r="H505" s="146"/>
      <c r="I505" s="121"/>
      <c r="J505" s="120"/>
      <c r="K505" s="120"/>
      <c r="L505" s="120"/>
      <c r="M505" s="9"/>
      <c r="N505" s="926"/>
      <c r="O505" s="900"/>
      <c r="P505" s="901"/>
      <c r="Q505" s="874"/>
      <c r="R505" s="874"/>
      <c r="S505" s="841"/>
      <c r="T505" s="854"/>
    </row>
    <row r="506" spans="1:20">
      <c r="D506" s="230"/>
      <c r="E506" s="127"/>
      <c r="F506" s="123"/>
      <c r="G506" s="127"/>
      <c r="H506" s="221"/>
      <c r="I506" s="222"/>
      <c r="J506" s="125"/>
      <c r="K506" s="125"/>
      <c r="L506" s="125"/>
      <c r="M506" s="9"/>
      <c r="N506" s="936"/>
      <c r="O506" s="900"/>
      <c r="P506" s="901"/>
      <c r="Q506" s="874"/>
      <c r="R506" s="874"/>
      <c r="S506" s="841"/>
      <c r="T506" s="854"/>
    </row>
    <row r="507" spans="1:20" s="299" customFormat="1">
      <c r="A507" s="918"/>
      <c r="B507" s="922"/>
      <c r="C507" s="924"/>
      <c r="D507" s="929"/>
      <c r="E507" s="930"/>
      <c r="F507" s="929"/>
      <c r="G507" s="930" t="s">
        <v>70</v>
      </c>
      <c r="H507" s="929">
        <f>D464</f>
        <v>17</v>
      </c>
      <c r="I507" s="929"/>
      <c r="J507" s="929"/>
      <c r="K507" s="929"/>
      <c r="L507" s="929"/>
      <c r="M507" s="9"/>
      <c r="N507" s="937"/>
      <c r="O507" s="900"/>
      <c r="P507" s="901">
        <f>SUM(P470:P505)</f>
        <v>24553.970000000005</v>
      </c>
      <c r="Q507" s="874"/>
      <c r="R507" s="874"/>
      <c r="S507" s="841"/>
      <c r="T507" s="854"/>
    </row>
    <row r="508" spans="1:20">
      <c r="D508" s="384"/>
      <c r="E508" s="931"/>
      <c r="F508" s="384"/>
      <c r="G508" s="384"/>
      <c r="H508" s="384"/>
      <c r="I508" s="384"/>
      <c r="J508" s="384"/>
      <c r="K508" s="384"/>
      <c r="L508" s="384"/>
      <c r="M508" s="9"/>
      <c r="N508" s="926"/>
      <c r="O508" s="900"/>
      <c r="P508" s="901"/>
      <c r="Q508" s="874"/>
      <c r="R508" s="874"/>
      <c r="S508" s="841"/>
      <c r="T508" s="854"/>
    </row>
    <row r="509" spans="1:20" s="310" customFormat="1">
      <c r="A509" s="915"/>
      <c r="B509" s="919"/>
      <c r="C509" s="913"/>
      <c r="D509" s="108">
        <v>19</v>
      </c>
      <c r="E509" s="813"/>
      <c r="F509" s="109"/>
      <c r="G509" s="108" t="s">
        <v>1965</v>
      </c>
      <c r="H509" s="109"/>
      <c r="I509" s="109"/>
      <c r="J509" s="109"/>
      <c r="K509" s="109"/>
      <c r="L509" s="109"/>
      <c r="M509" s="791"/>
      <c r="N509" s="378"/>
      <c r="O509" s="792"/>
      <c r="P509" s="864"/>
      <c r="Q509" s="872"/>
      <c r="R509" s="872"/>
      <c r="S509" s="842"/>
      <c r="T509" s="852"/>
    </row>
    <row r="510" spans="1:20" s="310" customFormat="1">
      <c r="A510" s="915"/>
      <c r="B510" s="919"/>
      <c r="C510" s="913"/>
      <c r="D510" s="108" t="s">
        <v>58</v>
      </c>
      <c r="E510" s="813"/>
      <c r="F510" s="109"/>
      <c r="G510" s="108" t="s">
        <v>1996</v>
      </c>
      <c r="H510" s="109"/>
      <c r="I510" s="109"/>
      <c r="J510" s="109"/>
      <c r="K510" s="109"/>
      <c r="L510" s="109"/>
      <c r="M510" s="791"/>
      <c r="N510" s="378"/>
      <c r="O510" s="792"/>
      <c r="P510" s="864"/>
      <c r="Q510" s="872"/>
      <c r="R510" s="872"/>
      <c r="S510" s="842"/>
      <c r="T510" s="852"/>
    </row>
    <row r="511" spans="1:20">
      <c r="D511" s="44"/>
      <c r="E511" s="296"/>
      <c r="F511" s="44"/>
      <c r="G511" s="44"/>
      <c r="H511" s="44"/>
      <c r="I511" s="44"/>
      <c r="J511" s="302"/>
      <c r="K511" s="302"/>
      <c r="L511" s="44"/>
      <c r="M511" s="9"/>
      <c r="N511" s="375"/>
      <c r="O511" s="789"/>
      <c r="P511" s="863"/>
      <c r="Q511" s="874"/>
      <c r="R511" s="874"/>
      <c r="S511" s="841"/>
      <c r="T511" s="854"/>
    </row>
    <row r="512" spans="1:20" ht="25.5">
      <c r="D512" s="232"/>
      <c r="E512" s="259"/>
      <c r="F512" s="233"/>
      <c r="G512" s="234" t="s">
        <v>342</v>
      </c>
      <c r="H512" s="233"/>
      <c r="I512" s="942"/>
      <c r="J512" s="237"/>
      <c r="K512" s="237"/>
      <c r="L512" s="237"/>
      <c r="M512" s="9"/>
      <c r="N512" s="926"/>
      <c r="O512" s="900"/>
      <c r="P512" s="901"/>
      <c r="Q512" s="874"/>
      <c r="R512" s="874"/>
      <c r="S512" s="841"/>
      <c r="T512" s="854"/>
    </row>
    <row r="513" spans="1:20">
      <c r="D513" s="232"/>
      <c r="E513" s="259"/>
      <c r="F513" s="233"/>
      <c r="G513" s="234"/>
      <c r="H513" s="233"/>
      <c r="I513" s="942"/>
      <c r="J513" s="237"/>
      <c r="K513" s="237"/>
      <c r="L513" s="237"/>
      <c r="M513" s="9"/>
      <c r="N513" s="926"/>
      <c r="O513" s="900"/>
      <c r="P513" s="901"/>
      <c r="Q513" s="874"/>
      <c r="R513" s="874"/>
      <c r="S513" s="841"/>
      <c r="T513" s="854"/>
    </row>
    <row r="514" spans="1:20">
      <c r="D514" s="232">
        <v>1</v>
      </c>
      <c r="E514" s="259"/>
      <c r="F514" s="233"/>
      <c r="G514" s="234" t="s">
        <v>1041</v>
      </c>
      <c r="H514" s="235"/>
      <c r="I514" s="236"/>
      <c r="J514" s="145"/>
      <c r="K514" s="145"/>
      <c r="L514" s="145"/>
      <c r="M514" s="9"/>
      <c r="N514" s="926"/>
      <c r="O514" s="900"/>
      <c r="P514" s="901"/>
      <c r="Q514" s="874"/>
      <c r="R514" s="874"/>
      <c r="S514" s="841"/>
      <c r="T514" s="854"/>
    </row>
    <row r="515" spans="1:20">
      <c r="D515" s="238" t="s">
        <v>20</v>
      </c>
      <c r="E515" s="259"/>
      <c r="F515" s="233"/>
      <c r="G515" s="113" t="s">
        <v>766</v>
      </c>
      <c r="H515" s="235"/>
      <c r="I515" s="236"/>
      <c r="J515" s="145"/>
      <c r="K515" s="145"/>
      <c r="L515" s="145"/>
      <c r="M515" s="9"/>
      <c r="N515" s="926"/>
      <c r="O515" s="900"/>
      <c r="P515" s="901"/>
      <c r="Q515" s="874"/>
      <c r="R515" s="874"/>
      <c r="S515" s="841"/>
      <c r="T515" s="854"/>
    </row>
    <row r="516" spans="1:20" s="885" customFormat="1" ht="51">
      <c r="A516" s="915"/>
      <c r="B516" s="919"/>
      <c r="C516" s="913"/>
      <c r="D516" s="239" t="s">
        <v>153</v>
      </c>
      <c r="E516" s="606" t="s">
        <v>1039</v>
      </c>
      <c r="F516" s="235"/>
      <c r="G516" s="113" t="s">
        <v>1040</v>
      </c>
      <c r="H516" s="240" t="s">
        <v>326</v>
      </c>
      <c r="I516" s="241">
        <v>2</v>
      </c>
      <c r="J516" s="242">
        <v>12500</v>
      </c>
      <c r="K516" s="242">
        <v>15950</v>
      </c>
      <c r="L516" s="242">
        <v>16.8</v>
      </c>
      <c r="M516" s="9">
        <f t="shared" si="35"/>
        <v>18629.599999999999</v>
      </c>
      <c r="N516" s="899">
        <v>0</v>
      </c>
      <c r="O516" s="900">
        <f t="shared" si="39"/>
        <v>2</v>
      </c>
      <c r="P516" s="901">
        <f t="shared" si="36"/>
        <v>37259.199999999997</v>
      </c>
      <c r="Q516" s="882">
        <v>243</v>
      </c>
      <c r="R516" s="882" t="s">
        <v>2424</v>
      </c>
      <c r="S516" s="883"/>
      <c r="T516" s="884"/>
    </row>
    <row r="517" spans="1:20" s="885" customFormat="1" ht="51">
      <c r="A517" s="915"/>
      <c r="B517" s="919"/>
      <c r="C517" s="913"/>
      <c r="D517" s="239" t="s">
        <v>151</v>
      </c>
      <c r="E517" s="606" t="s">
        <v>1037</v>
      </c>
      <c r="F517" s="235"/>
      <c r="G517" s="113" t="s">
        <v>1038</v>
      </c>
      <c r="H517" s="240" t="s">
        <v>326</v>
      </c>
      <c r="I517" s="241">
        <v>2</v>
      </c>
      <c r="J517" s="242">
        <v>8600</v>
      </c>
      <c r="K517" s="242">
        <v>11000</v>
      </c>
      <c r="L517" s="242">
        <v>16.8</v>
      </c>
      <c r="M517" s="9">
        <f t="shared" si="35"/>
        <v>12848</v>
      </c>
      <c r="N517" s="899">
        <v>0</v>
      </c>
      <c r="O517" s="900">
        <f t="shared" si="39"/>
        <v>2</v>
      </c>
      <c r="P517" s="901">
        <f t="shared" si="36"/>
        <v>25696</v>
      </c>
      <c r="Q517" s="882">
        <v>243</v>
      </c>
      <c r="R517" s="882" t="s">
        <v>2424</v>
      </c>
      <c r="S517" s="883"/>
      <c r="T517" s="884"/>
    </row>
    <row r="518" spans="1:20" s="885" customFormat="1" ht="38.25">
      <c r="A518" s="915"/>
      <c r="B518" s="919"/>
      <c r="C518" s="913"/>
      <c r="D518" s="239" t="s">
        <v>149</v>
      </c>
      <c r="E518" s="606" t="s">
        <v>1035</v>
      </c>
      <c r="F518" s="235"/>
      <c r="G518" s="113" t="s">
        <v>1036</v>
      </c>
      <c r="H518" s="240" t="s">
        <v>326</v>
      </c>
      <c r="I518" s="241">
        <v>2</v>
      </c>
      <c r="J518" s="242">
        <v>4850</v>
      </c>
      <c r="K518" s="242">
        <v>6660</v>
      </c>
      <c r="L518" s="242">
        <v>16.8</v>
      </c>
      <c r="M518" s="9">
        <f t="shared" si="35"/>
        <v>7778.88</v>
      </c>
      <c r="N518" s="899">
        <v>0</v>
      </c>
      <c r="O518" s="900">
        <f t="shared" si="39"/>
        <v>2</v>
      </c>
      <c r="P518" s="901">
        <f t="shared" si="36"/>
        <v>15557.76</v>
      </c>
      <c r="Q518" s="882">
        <v>243</v>
      </c>
      <c r="R518" s="882" t="s">
        <v>2424</v>
      </c>
      <c r="S518" s="883"/>
      <c r="T518" s="884"/>
    </row>
    <row r="519" spans="1:20" s="837" customFormat="1" ht="25.5">
      <c r="A519" s="915"/>
      <c r="B519" s="919"/>
      <c r="C519" s="913"/>
      <c r="D519" s="239" t="s">
        <v>240</v>
      </c>
      <c r="E519" s="606" t="s">
        <v>1033</v>
      </c>
      <c r="F519" s="235"/>
      <c r="G519" s="113" t="s">
        <v>1034</v>
      </c>
      <c r="H519" s="240" t="s">
        <v>326</v>
      </c>
      <c r="I519" s="241">
        <v>2</v>
      </c>
      <c r="J519" s="242">
        <v>2300</v>
      </c>
      <c r="K519" s="9">
        <f>J519*$S$3</f>
        <v>3013</v>
      </c>
      <c r="L519" s="242">
        <v>16.8</v>
      </c>
      <c r="M519" s="9">
        <f t="shared" si="35"/>
        <v>3519.18</v>
      </c>
      <c r="N519" s="899">
        <v>0</v>
      </c>
      <c r="O519" s="900">
        <f t="shared" si="39"/>
        <v>2</v>
      </c>
      <c r="P519" s="901">
        <f t="shared" si="36"/>
        <v>7038.36</v>
      </c>
      <c r="Q519" s="877" t="s">
        <v>2425</v>
      </c>
      <c r="R519" s="877" t="s">
        <v>2426</v>
      </c>
      <c r="S519" s="845"/>
      <c r="T519" s="858"/>
    </row>
    <row r="520" spans="1:20" s="837" customFormat="1" ht="25.5">
      <c r="A520" s="915"/>
      <c r="B520" s="919"/>
      <c r="C520" s="913"/>
      <c r="D520" s="239" t="s">
        <v>237</v>
      </c>
      <c r="E520" s="606" t="s">
        <v>1031</v>
      </c>
      <c r="F520" s="235"/>
      <c r="G520" s="113" t="s">
        <v>1032</v>
      </c>
      <c r="H520" s="240" t="s">
        <v>326</v>
      </c>
      <c r="I520" s="241">
        <v>3</v>
      </c>
      <c r="J520" s="242">
        <v>2149</v>
      </c>
      <c r="K520" s="9">
        <f>J520*$S$3</f>
        <v>2815.19</v>
      </c>
      <c r="L520" s="242">
        <v>16.8</v>
      </c>
      <c r="M520" s="9">
        <f t="shared" si="35"/>
        <v>3288.14</v>
      </c>
      <c r="N520" s="899">
        <v>0</v>
      </c>
      <c r="O520" s="900">
        <f t="shared" si="39"/>
        <v>3</v>
      </c>
      <c r="P520" s="901">
        <f t="shared" si="36"/>
        <v>9864.42</v>
      </c>
      <c r="Q520" s="877" t="s">
        <v>2425</v>
      </c>
      <c r="R520" s="877" t="s">
        <v>2426</v>
      </c>
      <c r="S520" s="845"/>
      <c r="T520" s="858"/>
    </row>
    <row r="521" spans="1:20" s="837" customFormat="1" ht="25.5">
      <c r="A521" s="915"/>
      <c r="B521" s="919"/>
      <c r="C521" s="913"/>
      <c r="D521" s="239" t="s">
        <v>234</v>
      </c>
      <c r="E521" s="606" t="s">
        <v>1029</v>
      </c>
      <c r="F521" s="235"/>
      <c r="G521" s="113" t="s">
        <v>1030</v>
      </c>
      <c r="H521" s="240" t="s">
        <v>326</v>
      </c>
      <c r="I521" s="241">
        <v>2</v>
      </c>
      <c r="J521" s="242">
        <v>750</v>
      </c>
      <c r="K521" s="9">
        <f>J521*$S$3</f>
        <v>982.5</v>
      </c>
      <c r="L521" s="242">
        <v>16.8</v>
      </c>
      <c r="M521" s="9">
        <f t="shared" si="35"/>
        <v>1147.56</v>
      </c>
      <c r="N521" s="899">
        <v>0</v>
      </c>
      <c r="O521" s="900">
        <f t="shared" si="39"/>
        <v>2</v>
      </c>
      <c r="P521" s="901">
        <f t="shared" si="36"/>
        <v>2295.12</v>
      </c>
      <c r="Q521" s="877" t="s">
        <v>2425</v>
      </c>
      <c r="R521" s="877" t="s">
        <v>2426</v>
      </c>
      <c r="S521" s="845"/>
      <c r="T521" s="858"/>
    </row>
    <row r="522" spans="1:20">
      <c r="D522" s="239" t="s">
        <v>19</v>
      </c>
      <c r="E522" s="606"/>
      <c r="F522" s="235"/>
      <c r="G522" s="113" t="s">
        <v>970</v>
      </c>
      <c r="H522" s="240"/>
      <c r="I522" s="241"/>
      <c r="J522" s="242"/>
      <c r="K522" s="242"/>
      <c r="L522" s="242"/>
      <c r="M522" s="9"/>
      <c r="N522" s="899"/>
      <c r="O522" s="900"/>
      <c r="P522" s="901"/>
      <c r="Q522" s="874"/>
      <c r="R522" s="874"/>
      <c r="S522" s="841"/>
      <c r="T522" s="854"/>
    </row>
    <row r="523" spans="1:20" s="344" customFormat="1" ht="25.5">
      <c r="A523" s="915"/>
      <c r="B523" s="919"/>
      <c r="C523" s="913"/>
      <c r="D523" s="239" t="s">
        <v>147</v>
      </c>
      <c r="E523" s="805">
        <f>'[3]Plan Tron'!B257</f>
        <v>9860</v>
      </c>
      <c r="F523" s="805" t="str">
        <f>'[3]Plan Tron'!C257</f>
        <v>SINAPI (INSUMO)</v>
      </c>
      <c r="G523" s="643" t="str">
        <f>'[3]Plan Tron'!D257</f>
        <v xml:space="preserve"> TUBO PVC, ROSCAVEL, 2", PARA AGUA FRIA PREDIAL </v>
      </c>
      <c r="H523" s="805" t="str">
        <f>'[3]Plan Tron'!E257</f>
        <v>M</v>
      </c>
      <c r="I523" s="241">
        <v>41</v>
      </c>
      <c r="J523" s="242">
        <v>27.06</v>
      </c>
      <c r="K523" s="242">
        <f>'[3]Plan Tron'!F257</f>
        <v>30.4</v>
      </c>
      <c r="L523" s="242">
        <v>16.8</v>
      </c>
      <c r="M523" s="9">
        <f t="shared" si="35"/>
        <v>35.51</v>
      </c>
      <c r="N523" s="899">
        <v>0</v>
      </c>
      <c r="O523" s="900">
        <f t="shared" si="39"/>
        <v>41</v>
      </c>
      <c r="P523" s="901">
        <f t="shared" si="36"/>
        <v>1455.91</v>
      </c>
      <c r="Q523" s="874"/>
      <c r="R523" s="874"/>
      <c r="S523" s="841"/>
      <c r="T523" s="854"/>
    </row>
    <row r="524" spans="1:20" s="344" customFormat="1" ht="25.5">
      <c r="A524" s="915"/>
      <c r="B524" s="919"/>
      <c r="C524" s="913"/>
      <c r="D524" s="239" t="s">
        <v>213</v>
      </c>
      <c r="E524" s="805">
        <f>'[3]Plan Tron'!B258</f>
        <v>9875</v>
      </c>
      <c r="F524" s="805" t="str">
        <f>'[3]Plan Tron'!C258</f>
        <v>SINAPI (INSUMO)</v>
      </c>
      <c r="G524" s="643" t="str">
        <f>'[3]Plan Tron'!D258</f>
        <v>TUBO PVC, SOLDAVEL, DN 50 MM, PARA AGUA FRIA (NBR-5648)</v>
      </c>
      <c r="H524" s="805" t="str">
        <f>'[3]Plan Tron'!E258</f>
        <v>M</v>
      </c>
      <c r="I524" s="241">
        <v>34.200000000000003</v>
      </c>
      <c r="J524" s="242">
        <v>9.36</v>
      </c>
      <c r="K524" s="242">
        <f>'[3]Plan Tron'!F258</f>
        <v>10.51</v>
      </c>
      <c r="L524" s="242">
        <v>16.8</v>
      </c>
      <c r="M524" s="9">
        <f t="shared" si="35"/>
        <v>12.28</v>
      </c>
      <c r="N524" s="899">
        <v>0</v>
      </c>
      <c r="O524" s="900">
        <f t="shared" si="39"/>
        <v>34.200000000000003</v>
      </c>
      <c r="P524" s="901">
        <f t="shared" si="36"/>
        <v>419.98</v>
      </c>
      <c r="Q524" s="874"/>
      <c r="R524" s="874"/>
      <c r="S524" s="841"/>
      <c r="T524" s="854"/>
    </row>
    <row r="525" spans="1:20" s="344" customFormat="1" ht="25.5">
      <c r="A525" s="915"/>
      <c r="B525" s="919"/>
      <c r="C525" s="913"/>
      <c r="D525" s="239" t="s">
        <v>212</v>
      </c>
      <c r="E525" s="805">
        <f>'[3]Plan Tron'!B259</f>
        <v>9867</v>
      </c>
      <c r="F525" s="805" t="str">
        <f>'[3]Plan Tron'!C259</f>
        <v>SINAPI (INSUMO)</v>
      </c>
      <c r="G525" s="643" t="str">
        <f>'[3]Plan Tron'!D259</f>
        <v xml:space="preserve">TUBO PVC, SOLDAVEL, DN 20 MM, AGUA FRIA (NBR-5648) </v>
      </c>
      <c r="H525" s="805" t="str">
        <f>'[3]Plan Tron'!E259</f>
        <v>M</v>
      </c>
      <c r="I525" s="241">
        <v>62.5</v>
      </c>
      <c r="J525" s="242">
        <v>1.89</v>
      </c>
      <c r="K525" s="242">
        <f>'[3]Plan Tron'!F259</f>
        <v>2.04</v>
      </c>
      <c r="L525" s="242">
        <v>16.8</v>
      </c>
      <c r="M525" s="9">
        <f t="shared" si="35"/>
        <v>2.38</v>
      </c>
      <c r="N525" s="899">
        <v>0</v>
      </c>
      <c r="O525" s="900">
        <f t="shared" si="39"/>
        <v>62.5</v>
      </c>
      <c r="P525" s="901">
        <f t="shared" si="36"/>
        <v>148.75</v>
      </c>
      <c r="Q525" s="874"/>
      <c r="R525" s="874"/>
      <c r="S525" s="841"/>
      <c r="T525" s="854"/>
    </row>
    <row r="526" spans="1:20">
      <c r="D526" s="239"/>
      <c r="E526" s="824"/>
      <c r="F526" s="243"/>
      <c r="G526" s="113"/>
      <c r="H526" s="240"/>
      <c r="I526" s="241"/>
      <c r="J526" s="242"/>
      <c r="K526" s="242"/>
      <c r="L526" s="242"/>
      <c r="M526" s="9"/>
      <c r="N526" s="899"/>
      <c r="O526" s="900"/>
      <c r="P526" s="901"/>
      <c r="Q526" s="874"/>
      <c r="R526" s="874"/>
      <c r="S526" s="841"/>
      <c r="T526" s="854"/>
    </row>
    <row r="527" spans="1:20">
      <c r="D527" s="239"/>
      <c r="E527" s="824"/>
      <c r="F527" s="243"/>
      <c r="G527" s="113"/>
      <c r="H527" s="240"/>
      <c r="I527" s="241"/>
      <c r="J527" s="242"/>
      <c r="K527" s="242"/>
      <c r="L527" s="242"/>
      <c r="M527" s="9"/>
      <c r="N527" s="899"/>
      <c r="O527" s="900"/>
      <c r="P527" s="901"/>
      <c r="Q527" s="874"/>
      <c r="R527" s="874"/>
      <c r="S527" s="841"/>
      <c r="T527" s="854"/>
    </row>
    <row r="528" spans="1:20">
      <c r="D528" s="239" t="s">
        <v>18</v>
      </c>
      <c r="E528" s="606"/>
      <c r="F528" s="235"/>
      <c r="G528" s="113" t="s">
        <v>679</v>
      </c>
      <c r="H528" s="240"/>
      <c r="I528" s="241"/>
      <c r="J528" s="242"/>
      <c r="K528" s="242"/>
      <c r="L528" s="242"/>
      <c r="M528" s="9"/>
      <c r="N528" s="899"/>
      <c r="O528" s="900"/>
      <c r="P528" s="901"/>
      <c r="Q528" s="874"/>
      <c r="R528" s="874"/>
      <c r="S528" s="841"/>
      <c r="T528" s="854"/>
    </row>
    <row r="529" spans="1:20" s="610" customFormat="1">
      <c r="A529" s="915"/>
      <c r="B529" s="919" t="s">
        <v>2457</v>
      </c>
      <c r="C529" s="913"/>
      <c r="D529" s="239" t="s">
        <v>201</v>
      </c>
      <c r="E529" s="606" t="s">
        <v>1889</v>
      </c>
      <c r="F529" s="235"/>
      <c r="G529" s="113" t="s">
        <v>1028</v>
      </c>
      <c r="H529" s="240" t="s">
        <v>246</v>
      </c>
      <c r="I529" s="241">
        <f>6</f>
        <v>6</v>
      </c>
      <c r="J529" s="242">
        <v>47.9</v>
      </c>
      <c r="K529" s="9">
        <f>J529*$S$3</f>
        <v>62.749000000000002</v>
      </c>
      <c r="L529" s="242">
        <v>16.8</v>
      </c>
      <c r="M529" s="9">
        <f t="shared" ref="M529:M592" si="40">ROUND(K529*(L529/100+1),2)</f>
        <v>73.290000000000006</v>
      </c>
      <c r="N529" s="899">
        <v>0</v>
      </c>
      <c r="O529" s="900">
        <f t="shared" si="39"/>
        <v>6</v>
      </c>
      <c r="P529" s="901">
        <f t="shared" ref="P529:P592" si="41">ROUND(O529*M529,2)</f>
        <v>439.74</v>
      </c>
      <c r="Q529" s="873"/>
      <c r="R529" s="873"/>
      <c r="S529" s="840"/>
      <c r="T529" s="853"/>
    </row>
    <row r="530" spans="1:20" s="344" customFormat="1" ht="25.5">
      <c r="A530" s="915"/>
      <c r="B530" s="919"/>
      <c r="C530" s="913"/>
      <c r="D530" s="239" t="s">
        <v>198</v>
      </c>
      <c r="E530" s="805">
        <f>'[3]Plan Tron'!B260</f>
        <v>11671</v>
      </c>
      <c r="F530" s="805" t="str">
        <f>'[3]Plan Tron'!C260</f>
        <v>SINAPI (INSUMO)</v>
      </c>
      <c r="G530" s="643" t="str">
        <f>'[3]Plan Tron'!D260</f>
        <v xml:space="preserve">REGISTRO DE ESFERA, PVC, COM VOLANTE, VS, ROSCAVEL, DN 2", COM CORPO DIVIDIDO </v>
      </c>
      <c r="H530" s="805" t="str">
        <f>'[3]Plan Tron'!E260</f>
        <v>UN</v>
      </c>
      <c r="I530" s="241">
        <v>26</v>
      </c>
      <c r="J530" s="242">
        <v>52.52</v>
      </c>
      <c r="K530" s="242">
        <f>'[3]Plan Tron'!F260</f>
        <v>68.31</v>
      </c>
      <c r="L530" s="242">
        <v>16.8</v>
      </c>
      <c r="M530" s="9">
        <f t="shared" si="40"/>
        <v>79.790000000000006</v>
      </c>
      <c r="N530" s="899">
        <v>0</v>
      </c>
      <c r="O530" s="900">
        <f t="shared" si="39"/>
        <v>26</v>
      </c>
      <c r="P530" s="901">
        <f t="shared" si="41"/>
        <v>2074.54</v>
      </c>
      <c r="Q530" s="874"/>
      <c r="R530" s="874"/>
      <c r="S530" s="841"/>
      <c r="T530" s="854"/>
    </row>
    <row r="531" spans="1:20" s="344" customFormat="1" ht="25.5">
      <c r="A531" s="915"/>
      <c r="B531" s="919"/>
      <c r="C531" s="913"/>
      <c r="D531" s="239" t="s">
        <v>390</v>
      </c>
      <c r="E531" s="805">
        <f>'[3]Plan Tron'!B261</f>
        <v>11677</v>
      </c>
      <c r="F531" s="805" t="str">
        <f>'[3]Plan Tron'!C261</f>
        <v>SINAPI (INSUMO)</v>
      </c>
      <c r="G531" s="643" t="str">
        <f>'[3]Plan Tron'!D261</f>
        <v>REGISTRO DE ESFERA, PVC, COM VOLANTE, VS, SOLDAVEL, DN 50 MM, COM CORPO DIVIDIDO</v>
      </c>
      <c r="H531" s="805" t="str">
        <f>'[3]Plan Tron'!E261</f>
        <v>UN</v>
      </c>
      <c r="I531" s="241">
        <v>7</v>
      </c>
      <c r="J531" s="242">
        <v>35.020000000000003</v>
      </c>
      <c r="K531" s="242">
        <f>'[3]Plan Tron'!F261</f>
        <v>43.39</v>
      </c>
      <c r="L531" s="242">
        <v>16.8</v>
      </c>
      <c r="M531" s="9">
        <f t="shared" si="40"/>
        <v>50.68</v>
      </c>
      <c r="N531" s="899">
        <v>0</v>
      </c>
      <c r="O531" s="900">
        <f t="shared" si="39"/>
        <v>7</v>
      </c>
      <c r="P531" s="901">
        <f t="shared" si="41"/>
        <v>354.76</v>
      </c>
      <c r="Q531" s="874"/>
      <c r="R531" s="874"/>
      <c r="S531" s="841"/>
      <c r="T531" s="854"/>
    </row>
    <row r="532" spans="1:20" s="610" customFormat="1">
      <c r="A532" s="915"/>
      <c r="B532" s="919" t="s">
        <v>2457</v>
      </c>
      <c r="C532" s="913"/>
      <c r="D532" s="239" t="s">
        <v>387</v>
      </c>
      <c r="E532" s="606" t="s">
        <v>1890</v>
      </c>
      <c r="F532" s="235"/>
      <c r="G532" s="113" t="s">
        <v>1027</v>
      </c>
      <c r="H532" s="240" t="s">
        <v>246</v>
      </c>
      <c r="I532" s="241">
        <v>7</v>
      </c>
      <c r="J532" s="235">
        <v>19.899999999999999</v>
      </c>
      <c r="K532" s="9">
        <f>J532*$S$3</f>
        <v>26.068999999999999</v>
      </c>
      <c r="L532" s="242">
        <v>16.8</v>
      </c>
      <c r="M532" s="9">
        <f t="shared" si="40"/>
        <v>30.45</v>
      </c>
      <c r="N532" s="899">
        <v>0</v>
      </c>
      <c r="O532" s="900">
        <f t="shared" si="39"/>
        <v>7</v>
      </c>
      <c r="P532" s="901">
        <f t="shared" si="41"/>
        <v>213.15</v>
      </c>
      <c r="Q532" s="873"/>
      <c r="R532" s="873"/>
      <c r="S532" s="840"/>
      <c r="T532" s="853"/>
    </row>
    <row r="533" spans="1:20" s="344" customFormat="1" ht="25.5">
      <c r="A533" s="915"/>
      <c r="B533" s="919"/>
      <c r="C533" s="913"/>
      <c r="D533" s="239" t="s">
        <v>384</v>
      </c>
      <c r="E533" s="805">
        <f>'[3]Plan Tron'!B262</f>
        <v>11673</v>
      </c>
      <c r="F533" s="805" t="str">
        <f>'[3]Plan Tron'!C262</f>
        <v>SINAPI (INSUMO)</v>
      </c>
      <c r="G533" s="643" t="str">
        <f>'[3]Plan Tron'!D262</f>
        <v>REGISTRO DE ESFERA, PVC, COM VOLANTE, VS, SOLDAVEL, DN 20 MM, COM CORPO DIVIDIDO</v>
      </c>
      <c r="H533" s="805" t="str">
        <f>'[3]Plan Tron'!E262</f>
        <v>UN</v>
      </c>
      <c r="I533" s="241">
        <v>7</v>
      </c>
      <c r="J533" s="242">
        <v>12.4</v>
      </c>
      <c r="K533" s="242">
        <f>'[3]Plan Tron'!F262</f>
        <v>15.36</v>
      </c>
      <c r="L533" s="242">
        <v>16.8</v>
      </c>
      <c r="M533" s="9">
        <f t="shared" si="40"/>
        <v>17.940000000000001</v>
      </c>
      <c r="N533" s="899">
        <v>0</v>
      </c>
      <c r="O533" s="900">
        <f t="shared" si="39"/>
        <v>7</v>
      </c>
      <c r="P533" s="901">
        <f t="shared" si="41"/>
        <v>125.58</v>
      </c>
      <c r="Q533" s="874"/>
      <c r="R533" s="874"/>
      <c r="S533" s="841"/>
      <c r="T533" s="854"/>
    </row>
    <row r="534" spans="1:20">
      <c r="D534" s="239"/>
      <c r="E534" s="606"/>
      <c r="F534" s="235"/>
      <c r="G534" s="113"/>
      <c r="H534" s="240"/>
      <c r="I534" s="241"/>
      <c r="J534" s="242"/>
      <c r="K534" s="242"/>
      <c r="L534" s="242"/>
      <c r="M534" s="9"/>
      <c r="N534" s="899"/>
      <c r="O534" s="900"/>
      <c r="P534" s="901"/>
      <c r="Q534" s="874"/>
      <c r="R534" s="874"/>
      <c r="S534" s="841"/>
      <c r="T534" s="854"/>
    </row>
    <row r="535" spans="1:20">
      <c r="D535" s="239" t="s">
        <v>15</v>
      </c>
      <c r="E535" s="606"/>
      <c r="F535" s="235"/>
      <c r="G535" s="113" t="s">
        <v>1004</v>
      </c>
      <c r="H535" s="240"/>
      <c r="I535" s="241"/>
      <c r="J535" s="242"/>
      <c r="K535" s="242"/>
      <c r="L535" s="242"/>
      <c r="M535" s="9"/>
      <c r="N535" s="899"/>
      <c r="O535" s="900"/>
      <c r="P535" s="901"/>
      <c r="Q535" s="874"/>
      <c r="R535" s="874"/>
      <c r="S535" s="841"/>
      <c r="T535" s="854"/>
    </row>
    <row r="536" spans="1:20" s="610" customFormat="1">
      <c r="A536" s="915"/>
      <c r="B536" s="919" t="s">
        <v>2457</v>
      </c>
      <c r="C536" s="913"/>
      <c r="D536" s="239" t="s">
        <v>249</v>
      </c>
      <c r="E536" s="606" t="s">
        <v>1891</v>
      </c>
      <c r="F536" s="235"/>
      <c r="G536" s="113" t="s">
        <v>1026</v>
      </c>
      <c r="H536" s="606" t="s">
        <v>246</v>
      </c>
      <c r="I536" s="241">
        <v>6</v>
      </c>
      <c r="J536" s="242">
        <v>1.82</v>
      </c>
      <c r="K536" s="9">
        <f>J536*$S$3</f>
        <v>2.3842000000000003</v>
      </c>
      <c r="L536" s="242">
        <v>16.8</v>
      </c>
      <c r="M536" s="9">
        <f t="shared" si="40"/>
        <v>2.78</v>
      </c>
      <c r="N536" s="899">
        <v>0</v>
      </c>
      <c r="O536" s="900">
        <f t="shared" si="39"/>
        <v>6</v>
      </c>
      <c r="P536" s="901">
        <f t="shared" si="41"/>
        <v>16.68</v>
      </c>
      <c r="Q536" s="873"/>
      <c r="R536" s="873"/>
      <c r="S536" s="840"/>
      <c r="T536" s="853"/>
    </row>
    <row r="537" spans="1:20" s="344" customFormat="1" ht="25.5">
      <c r="A537" s="915"/>
      <c r="B537" s="919"/>
      <c r="C537" s="913"/>
      <c r="D537" s="239" t="s">
        <v>265</v>
      </c>
      <c r="E537" s="805">
        <f>'[3]Plan Tron'!B263</f>
        <v>3879</v>
      </c>
      <c r="F537" s="805" t="str">
        <f>'[3]Plan Tron'!C263</f>
        <v>SINAPI (INSUMO)</v>
      </c>
      <c r="G537" s="643" t="str">
        <f>'[3]Plan Tron'!D263</f>
        <v>LUVA PVC, ROSCAVEL, 2", AGUA FRIA PREDIAL</v>
      </c>
      <c r="H537" s="805" t="str">
        <f>'[3]Plan Tron'!E263</f>
        <v>UN</v>
      </c>
      <c r="I537" s="241">
        <v>30</v>
      </c>
      <c r="J537" s="242">
        <v>7.79</v>
      </c>
      <c r="K537" s="242">
        <f>'[3]Plan Tron'!F263</f>
        <v>9.9700000000000006</v>
      </c>
      <c r="L537" s="242">
        <v>16.8</v>
      </c>
      <c r="M537" s="9">
        <f t="shared" si="40"/>
        <v>11.64</v>
      </c>
      <c r="N537" s="899">
        <v>0</v>
      </c>
      <c r="O537" s="900">
        <f t="shared" si="39"/>
        <v>30</v>
      </c>
      <c r="P537" s="901">
        <f t="shared" si="41"/>
        <v>349.2</v>
      </c>
      <c r="Q537" s="874"/>
      <c r="R537" s="874"/>
      <c r="S537" s="841"/>
      <c r="T537" s="854"/>
    </row>
    <row r="538" spans="1:20" s="344" customFormat="1" ht="25.5">
      <c r="A538" s="915"/>
      <c r="B538" s="919"/>
      <c r="C538" s="913"/>
      <c r="D538" s="239" t="s">
        <v>263</v>
      </c>
      <c r="E538" s="805">
        <f>'[3]Plan Tron'!B264</f>
        <v>4213</v>
      </c>
      <c r="F538" s="805" t="str">
        <f>'[3]Plan Tron'!C264</f>
        <v>SINAPI (INSUMO)</v>
      </c>
      <c r="G538" s="643" t="str">
        <f>'[3]Plan Tron'!D264</f>
        <v>NIPEL PVC, ROSCAVEL, 2", AGUA FRIA PREDIAL</v>
      </c>
      <c r="H538" s="805" t="str">
        <f>'[3]Plan Tron'!E264</f>
        <v>UN</v>
      </c>
      <c r="I538" s="241">
        <v>6</v>
      </c>
      <c r="J538" s="242">
        <v>6.69</v>
      </c>
      <c r="K538" s="242">
        <f>'[3]Plan Tron'!F264</f>
        <v>7.83</v>
      </c>
      <c r="L538" s="242">
        <v>16.8</v>
      </c>
      <c r="M538" s="9">
        <f t="shared" si="40"/>
        <v>9.15</v>
      </c>
      <c r="N538" s="899">
        <v>0</v>
      </c>
      <c r="O538" s="900">
        <f t="shared" si="39"/>
        <v>6</v>
      </c>
      <c r="P538" s="901">
        <f t="shared" si="41"/>
        <v>54.9</v>
      </c>
      <c r="Q538" s="874"/>
      <c r="R538" s="874"/>
      <c r="S538" s="841"/>
      <c r="T538" s="854"/>
    </row>
    <row r="539" spans="1:20" s="344" customFormat="1" ht="25.5">
      <c r="A539" s="915"/>
      <c r="B539" s="919"/>
      <c r="C539" s="913"/>
      <c r="D539" s="239" t="s">
        <v>358</v>
      </c>
      <c r="E539" s="805">
        <f>'[3]Plan Tron'!B265</f>
        <v>3508</v>
      </c>
      <c r="F539" s="805" t="str">
        <f>'[3]Plan Tron'!C265</f>
        <v>SINAPI (INSUMO)</v>
      </c>
      <c r="G539" s="643" t="str">
        <f>'[3]Plan Tron'!D265</f>
        <v xml:space="preserve">JOELHO PVC, 90 GRAUS, ROSCAVEL, 2", AGUA FRIA PREDIAL </v>
      </c>
      <c r="H539" s="805" t="str">
        <f>'[3]Plan Tron'!E265</f>
        <v>UN</v>
      </c>
      <c r="I539" s="241">
        <v>25</v>
      </c>
      <c r="J539" s="242">
        <v>17.62</v>
      </c>
      <c r="K539" s="242">
        <f>'[3]Plan Tron'!F265</f>
        <v>17.66</v>
      </c>
      <c r="L539" s="242">
        <v>16.8</v>
      </c>
      <c r="M539" s="9">
        <f t="shared" si="40"/>
        <v>20.63</v>
      </c>
      <c r="N539" s="899">
        <v>0</v>
      </c>
      <c r="O539" s="900">
        <f t="shared" si="39"/>
        <v>25</v>
      </c>
      <c r="P539" s="901">
        <f t="shared" si="41"/>
        <v>515.75</v>
      </c>
      <c r="Q539" s="874"/>
      <c r="R539" s="874"/>
      <c r="S539" s="841"/>
      <c r="T539" s="854"/>
    </row>
    <row r="540" spans="1:20" s="344" customFormat="1" ht="25.5">
      <c r="A540" s="915"/>
      <c r="B540" s="919"/>
      <c r="C540" s="913"/>
      <c r="D540" s="239" t="s">
        <v>356</v>
      </c>
      <c r="E540" s="805">
        <f>'[3]Plan Tron'!B266</f>
        <v>804</v>
      </c>
      <c r="F540" s="805" t="str">
        <f>'[3]Plan Tron'!C266</f>
        <v>SINAPI (INSUMO)</v>
      </c>
      <c r="G540" s="643" t="str">
        <f>'[3]Plan Tron'!D266</f>
        <v>BUCHA REDUCAO PVC, ROSCAVEL, 2" X 1 1/2 "</v>
      </c>
      <c r="H540" s="805" t="str">
        <f>'[3]Plan Tron'!E266</f>
        <v>UN</v>
      </c>
      <c r="I540" s="241">
        <v>2</v>
      </c>
      <c r="J540" s="242">
        <v>6.1</v>
      </c>
      <c r="K540" s="242">
        <f>'[3]Plan Tron'!F266</f>
        <v>7.51</v>
      </c>
      <c r="L540" s="242">
        <v>16.8</v>
      </c>
      <c r="M540" s="9">
        <f t="shared" si="40"/>
        <v>8.77</v>
      </c>
      <c r="N540" s="899">
        <v>0</v>
      </c>
      <c r="O540" s="900">
        <f t="shared" si="39"/>
        <v>2</v>
      </c>
      <c r="P540" s="901">
        <f t="shared" si="41"/>
        <v>17.54</v>
      </c>
      <c r="Q540" s="874"/>
      <c r="R540" s="874"/>
      <c r="S540" s="841"/>
      <c r="T540" s="854"/>
    </row>
    <row r="541" spans="1:20" s="344" customFormat="1" ht="25.5">
      <c r="A541" s="915"/>
      <c r="B541" s="919"/>
      <c r="C541" s="913"/>
      <c r="D541" s="239" t="s">
        <v>354</v>
      </c>
      <c r="E541" s="805">
        <f>'[3]Plan Tron'!B267</f>
        <v>3871</v>
      </c>
      <c r="F541" s="805" t="str">
        <f>'[3]Plan Tron'!C267</f>
        <v>SINAPI (INSUMO)</v>
      </c>
      <c r="G541" s="643" t="str">
        <f>'[3]Plan Tron'!D267</f>
        <v xml:space="preserve">LUVA SOLDAVEL COM ROSCA, PVC, 50 MM X 1 1/2", PARA AGUA FRIA PREDIAL </v>
      </c>
      <c r="H541" s="805" t="str">
        <f>'[3]Plan Tron'!E267</f>
        <v>UN</v>
      </c>
      <c r="I541" s="241">
        <f>I540</f>
        <v>2</v>
      </c>
      <c r="J541" s="242">
        <v>16.079999999999998</v>
      </c>
      <c r="K541" s="242">
        <f>'[3]Plan Tron'!F267</f>
        <v>11.85</v>
      </c>
      <c r="L541" s="242">
        <v>16.8</v>
      </c>
      <c r="M541" s="9">
        <f t="shared" si="40"/>
        <v>13.84</v>
      </c>
      <c r="N541" s="899">
        <v>0</v>
      </c>
      <c r="O541" s="900">
        <f t="shared" si="39"/>
        <v>2</v>
      </c>
      <c r="P541" s="901">
        <f t="shared" si="41"/>
        <v>27.68</v>
      </c>
      <c r="Q541" s="874"/>
      <c r="R541" s="874"/>
      <c r="S541" s="841"/>
      <c r="T541" s="854"/>
    </row>
    <row r="542" spans="1:20" s="344" customFormat="1" ht="25.5">
      <c r="A542" s="915"/>
      <c r="B542" s="919"/>
      <c r="C542" s="913"/>
      <c r="D542" s="239" t="s">
        <v>352</v>
      </c>
      <c r="E542" s="805">
        <f>'[3]Plan Tron'!B268</f>
        <v>4210</v>
      </c>
      <c r="F542" s="805" t="str">
        <f>'[3]Plan Tron'!C268</f>
        <v>SINAPI (INSUMO)</v>
      </c>
      <c r="G542" s="643" t="str">
        <f>'[3]Plan Tron'!D268</f>
        <v xml:space="preserve">NIPEL PVC, ROSCAVEL, 1/2", AGUA FRIA PREDIAL </v>
      </c>
      <c r="H542" s="805" t="str">
        <f>'[3]Plan Tron'!E268</f>
        <v>UN</v>
      </c>
      <c r="I542" s="241">
        <v>2</v>
      </c>
      <c r="J542" s="242">
        <v>0.57999999999999996</v>
      </c>
      <c r="K542" s="242">
        <f>'[3]Plan Tron'!F268</f>
        <v>0.55000000000000004</v>
      </c>
      <c r="L542" s="242">
        <v>16.8</v>
      </c>
      <c r="M542" s="9">
        <f t="shared" si="40"/>
        <v>0.64</v>
      </c>
      <c r="N542" s="899">
        <v>0</v>
      </c>
      <c r="O542" s="900">
        <f t="shared" si="39"/>
        <v>2</v>
      </c>
      <c r="P542" s="901">
        <f t="shared" si="41"/>
        <v>1.28</v>
      </c>
      <c r="Q542" s="874"/>
      <c r="R542" s="874"/>
      <c r="S542" s="841"/>
      <c r="T542" s="854"/>
    </row>
    <row r="543" spans="1:20" s="344" customFormat="1" ht="25.5">
      <c r="A543" s="915"/>
      <c r="B543" s="919"/>
      <c r="C543" s="913"/>
      <c r="D543" s="239" t="s">
        <v>350</v>
      </c>
      <c r="E543" s="805">
        <f>'[3]Plan Tron'!B269</f>
        <v>3540</v>
      </c>
      <c r="F543" s="805" t="str">
        <f>'[3]Plan Tron'!C269</f>
        <v>SINAPI (INSUMO)</v>
      </c>
      <c r="G543" s="643" t="str">
        <f>'[3]Plan Tron'!D269</f>
        <v>JOELHO PVC, SOLDAVEL, 90 GRAUS, 50 MM, PARA AGUA FRIA PREDIAL</v>
      </c>
      <c r="H543" s="805" t="str">
        <f>'[3]Plan Tron'!E269</f>
        <v>UN</v>
      </c>
      <c r="I543" s="241">
        <v>19</v>
      </c>
      <c r="J543" s="242">
        <v>3.5</v>
      </c>
      <c r="K543" s="242">
        <f>'[3]Plan Tron'!F269</f>
        <v>4.63</v>
      </c>
      <c r="L543" s="242">
        <v>16.8</v>
      </c>
      <c r="M543" s="9">
        <f t="shared" si="40"/>
        <v>5.41</v>
      </c>
      <c r="N543" s="899">
        <v>0</v>
      </c>
      <c r="O543" s="900">
        <f t="shared" si="39"/>
        <v>19</v>
      </c>
      <c r="P543" s="901">
        <f t="shared" si="41"/>
        <v>102.79</v>
      </c>
      <c r="Q543" s="874"/>
      <c r="R543" s="874"/>
      <c r="S543" s="841"/>
      <c r="T543" s="854"/>
    </row>
    <row r="544" spans="1:20" s="344" customFormat="1" ht="25.5">
      <c r="A544" s="915"/>
      <c r="B544" s="919"/>
      <c r="C544" s="913"/>
      <c r="D544" s="239" t="s">
        <v>1024</v>
      </c>
      <c r="E544" s="805">
        <f>'[3]Plan Tron'!B270</f>
        <v>7142</v>
      </c>
      <c r="F544" s="805" t="str">
        <f>'[3]Plan Tron'!C270</f>
        <v>SINAPI (INSUMO)</v>
      </c>
      <c r="G544" s="643" t="str">
        <f>'[3]Plan Tron'!D270</f>
        <v xml:space="preserve">TE SOLDAVEL, PVC, 90 GRAUS,50 MM, PARA AGUA FRIA PREDIAL (NBR 5648) </v>
      </c>
      <c r="H544" s="805" t="str">
        <f>'[3]Plan Tron'!E270</f>
        <v>UN</v>
      </c>
      <c r="I544" s="241">
        <v>4</v>
      </c>
      <c r="J544" s="242">
        <v>6.28</v>
      </c>
      <c r="K544" s="242">
        <f>'[3]Plan Tron'!F270</f>
        <v>8</v>
      </c>
      <c r="L544" s="242">
        <v>16.8</v>
      </c>
      <c r="M544" s="9">
        <f t="shared" si="40"/>
        <v>9.34</v>
      </c>
      <c r="N544" s="899">
        <v>0</v>
      </c>
      <c r="O544" s="900">
        <f t="shared" si="39"/>
        <v>4</v>
      </c>
      <c r="P544" s="901">
        <f t="shared" si="41"/>
        <v>37.36</v>
      </c>
      <c r="Q544" s="874"/>
      <c r="R544" s="874"/>
      <c r="S544" s="841"/>
      <c r="T544" s="854"/>
    </row>
    <row r="545" spans="1:20" s="344" customFormat="1" ht="25.5">
      <c r="A545" s="915"/>
      <c r="B545" s="919"/>
      <c r="C545" s="913"/>
      <c r="D545" s="239" t="s">
        <v>1023</v>
      </c>
      <c r="E545" s="805">
        <f>'[3]Plan Tron'!B271</f>
        <v>3542</v>
      </c>
      <c r="F545" s="805" t="str">
        <f>'[3]Plan Tron'!C271</f>
        <v>SINAPI (INSUMO)</v>
      </c>
      <c r="G545" s="643" t="str">
        <f>'[3]Plan Tron'!D271</f>
        <v xml:space="preserve">JOELHO PVC, SOLDAVEL, 90 GRAUS, 20 MM, PARA AGUA FRIA PREDIAL </v>
      </c>
      <c r="H545" s="805" t="str">
        <f>'[3]Plan Tron'!E271</f>
        <v>UN</v>
      </c>
      <c r="I545" s="241">
        <v>26</v>
      </c>
      <c r="J545" s="242">
        <v>0.4</v>
      </c>
      <c r="K545" s="242">
        <f>'[3]Plan Tron'!F271</f>
        <v>0.44</v>
      </c>
      <c r="L545" s="242">
        <v>16.8</v>
      </c>
      <c r="M545" s="9">
        <f t="shared" si="40"/>
        <v>0.51</v>
      </c>
      <c r="N545" s="899">
        <v>0</v>
      </c>
      <c r="O545" s="900">
        <f t="shared" si="39"/>
        <v>26</v>
      </c>
      <c r="P545" s="901">
        <f t="shared" si="41"/>
        <v>13.26</v>
      </c>
      <c r="Q545" s="874"/>
      <c r="R545" s="874"/>
      <c r="S545" s="841"/>
      <c r="T545" s="854"/>
    </row>
    <row r="546" spans="1:20" s="344" customFormat="1" ht="25.5">
      <c r="A546" s="915"/>
      <c r="B546" s="919"/>
      <c r="C546" s="913"/>
      <c r="D546" s="239" t="s">
        <v>1022</v>
      </c>
      <c r="E546" s="805">
        <f>'[3]Plan Tron'!B272</f>
        <v>7138</v>
      </c>
      <c r="F546" s="805" t="str">
        <f>'[3]Plan Tron'!C272</f>
        <v>SINAPI (INSUMO)</v>
      </c>
      <c r="G546" s="643" t="str">
        <f>'[3]Plan Tron'!D272</f>
        <v xml:space="preserve">TE SOLDAVEL, PVC, 90 GRAUS, 20 MM, PARA AGUA FRIA PREDIAL (NBR 5648) </v>
      </c>
      <c r="H546" s="805" t="str">
        <f>'[3]Plan Tron'!E272</f>
        <v>UN</v>
      </c>
      <c r="I546" s="241">
        <v>5</v>
      </c>
      <c r="J546" s="242">
        <v>0.68</v>
      </c>
      <c r="K546" s="242">
        <f>'[3]Plan Tron'!F272</f>
        <v>0.8</v>
      </c>
      <c r="L546" s="242">
        <v>16.8</v>
      </c>
      <c r="M546" s="9">
        <f t="shared" si="40"/>
        <v>0.93</v>
      </c>
      <c r="N546" s="899">
        <v>0</v>
      </c>
      <c r="O546" s="900">
        <f t="shared" si="39"/>
        <v>5</v>
      </c>
      <c r="P546" s="901">
        <f t="shared" si="41"/>
        <v>4.6500000000000004</v>
      </c>
      <c r="Q546" s="874"/>
      <c r="R546" s="874"/>
      <c r="S546" s="841"/>
      <c r="T546" s="854"/>
    </row>
    <row r="547" spans="1:20" s="344" customFormat="1" ht="25.5">
      <c r="A547" s="915"/>
      <c r="B547" s="919"/>
      <c r="C547" s="913"/>
      <c r="D547" s="239" t="s">
        <v>1021</v>
      </c>
      <c r="E547" s="805">
        <f>'[3]Plan Tron'!B273</f>
        <v>828</v>
      </c>
      <c r="F547" s="805" t="str">
        <f>'[3]Plan Tron'!C273</f>
        <v>SINAPI (INSUMO)</v>
      </c>
      <c r="G547" s="643" t="str">
        <f>'[3]Plan Tron'!D273</f>
        <v>BUCHA DE REDUCAO DE PVC, SOLDAVEL, CURTA, COM 25 X 20 MM, PARA AGUA FRIA PREDIAL</v>
      </c>
      <c r="H547" s="805" t="str">
        <f>'[3]Plan Tron'!E273</f>
        <v>UN</v>
      </c>
      <c r="I547" s="241">
        <v>7</v>
      </c>
      <c r="J547" s="242">
        <v>0.26</v>
      </c>
      <c r="K547" s="242">
        <f>'[3]Plan Tron'!F273</f>
        <v>0.34</v>
      </c>
      <c r="L547" s="242">
        <v>16.8</v>
      </c>
      <c r="M547" s="9">
        <f t="shared" si="40"/>
        <v>0.4</v>
      </c>
      <c r="N547" s="899">
        <v>0</v>
      </c>
      <c r="O547" s="900">
        <f t="shared" ref="O547:O610" si="42">I547-N547</f>
        <v>7</v>
      </c>
      <c r="P547" s="901">
        <f t="shared" si="41"/>
        <v>2.8</v>
      </c>
      <c r="Q547" s="874"/>
      <c r="R547" s="874"/>
      <c r="S547" s="841"/>
      <c r="T547" s="854"/>
    </row>
    <row r="548" spans="1:20" s="344" customFormat="1" ht="25.5">
      <c r="A548" s="915"/>
      <c r="B548" s="919"/>
      <c r="C548" s="913"/>
      <c r="D548" s="239" t="s">
        <v>1020</v>
      </c>
      <c r="E548" s="805">
        <f>'[3]Plan Tron'!B274</f>
        <v>3906</v>
      </c>
      <c r="F548" s="805" t="str">
        <f>'[3]Plan Tron'!C274</f>
        <v>SINAPI (INSUMO)</v>
      </c>
      <c r="G548" s="643" t="str">
        <f>'[3]Plan Tron'!D274</f>
        <v>LUVA SOLDAVEL COM ROSCA, PVC, 25 MM X 3/4", PARA AGUA FRIA PREDIAL</v>
      </c>
      <c r="H548" s="805" t="str">
        <f>'[3]Plan Tron'!E274</f>
        <v>UN</v>
      </c>
      <c r="I548" s="241">
        <v>7</v>
      </c>
      <c r="J548" s="242">
        <v>0.8</v>
      </c>
      <c r="K548" s="242">
        <f>'[3]Plan Tron'!F274</f>
        <v>0.98</v>
      </c>
      <c r="L548" s="242">
        <v>16.8</v>
      </c>
      <c r="M548" s="9">
        <f t="shared" si="40"/>
        <v>1.1399999999999999</v>
      </c>
      <c r="N548" s="899">
        <v>0</v>
      </c>
      <c r="O548" s="900">
        <f t="shared" si="42"/>
        <v>7</v>
      </c>
      <c r="P548" s="901">
        <f t="shared" si="41"/>
        <v>7.98</v>
      </c>
      <c r="Q548" s="874"/>
      <c r="R548" s="874"/>
      <c r="S548" s="841"/>
      <c r="T548" s="854"/>
    </row>
    <row r="549" spans="1:20" s="344" customFormat="1" ht="25.5">
      <c r="A549" s="915"/>
      <c r="B549" s="919"/>
      <c r="C549" s="913"/>
      <c r="D549" s="239" t="s">
        <v>1019</v>
      </c>
      <c r="E549" s="805">
        <f>'[3]Plan Tron'!B275</f>
        <v>4211</v>
      </c>
      <c r="F549" s="805" t="str">
        <f>'[3]Plan Tron'!C275</f>
        <v>SINAPI (INSUMO)</v>
      </c>
      <c r="G549" s="643" t="str">
        <f>'[3]Plan Tron'!D275</f>
        <v xml:space="preserve">NIPEL PVC, ROSCAVEL, 3/4", AGUA FRIA PREDIAL </v>
      </c>
      <c r="H549" s="805" t="str">
        <f>'[3]Plan Tron'!E275</f>
        <v>UN</v>
      </c>
      <c r="I549" s="241">
        <v>14</v>
      </c>
      <c r="J549" s="242">
        <v>0.59</v>
      </c>
      <c r="K549" s="242">
        <f>'[3]Plan Tron'!F275</f>
        <v>0.81</v>
      </c>
      <c r="L549" s="242">
        <v>16.8</v>
      </c>
      <c r="M549" s="9">
        <f t="shared" si="40"/>
        <v>0.95</v>
      </c>
      <c r="N549" s="899">
        <v>0</v>
      </c>
      <c r="O549" s="900">
        <f t="shared" si="42"/>
        <v>14</v>
      </c>
      <c r="P549" s="901">
        <f t="shared" si="41"/>
        <v>13.3</v>
      </c>
      <c r="Q549" s="874"/>
      <c r="R549" s="874"/>
      <c r="S549" s="841"/>
      <c r="T549" s="854"/>
    </row>
    <row r="550" spans="1:20" s="344" customFormat="1" ht="25.5">
      <c r="A550" s="915"/>
      <c r="B550" s="919"/>
      <c r="C550" s="913"/>
      <c r="D550" s="239" t="s">
        <v>1018</v>
      </c>
      <c r="E550" s="805">
        <f>'[3]Plan Tron'!B276</f>
        <v>1938</v>
      </c>
      <c r="F550" s="805" t="str">
        <f>'[3]Plan Tron'!C276</f>
        <v>SINAPI (INSUMO)</v>
      </c>
      <c r="G550" s="643" t="str">
        <f>'[3]Plan Tron'!D276</f>
        <v xml:space="preserve">CURVA PVC 90 GRAUS, ROSCAVEL, 3/4", AGUA FRIA PREDIAL </v>
      </c>
      <c r="H550" s="805" t="str">
        <f>'[3]Plan Tron'!E276</f>
        <v>UN</v>
      </c>
      <c r="I550" s="241">
        <v>7</v>
      </c>
      <c r="J550" s="242">
        <v>2.46</v>
      </c>
      <c r="K550" s="242">
        <f>'[3]Plan Tron'!F276</f>
        <v>2.48</v>
      </c>
      <c r="L550" s="242">
        <v>16.8</v>
      </c>
      <c r="M550" s="9">
        <f t="shared" si="40"/>
        <v>2.9</v>
      </c>
      <c r="N550" s="899">
        <v>0</v>
      </c>
      <c r="O550" s="900">
        <f t="shared" si="42"/>
        <v>7</v>
      </c>
      <c r="P550" s="901">
        <f t="shared" si="41"/>
        <v>20.3</v>
      </c>
      <c r="Q550" s="874"/>
      <c r="R550" s="874"/>
      <c r="S550" s="841"/>
      <c r="T550" s="854"/>
    </row>
    <row r="551" spans="1:20" s="344" customFormat="1" ht="25.5">
      <c r="A551" s="915"/>
      <c r="B551" s="919"/>
      <c r="C551" s="913"/>
      <c r="D551" s="239" t="s">
        <v>1017</v>
      </c>
      <c r="E551" s="805">
        <f>'[3]Plan Tron'!B277</f>
        <v>3493</v>
      </c>
      <c r="F551" s="805" t="str">
        <f>'[3]Plan Tron'!C277</f>
        <v>SINAPI (INSUMO)</v>
      </c>
      <c r="G551" s="643" t="str">
        <f>'[3]Plan Tron'!D277</f>
        <v xml:space="preserve">JOELHO PVC, 45 GRAUS, ROSCAVEL, 2", AGUA FRIA PREDIAL </v>
      </c>
      <c r="H551" s="805" t="str">
        <f>'[3]Plan Tron'!E277</f>
        <v>UN</v>
      </c>
      <c r="I551" s="241">
        <v>10</v>
      </c>
      <c r="J551" s="242">
        <v>14.66</v>
      </c>
      <c r="K551" s="242">
        <f>'[3]Plan Tron'!F277</f>
        <v>16.95</v>
      </c>
      <c r="L551" s="242">
        <v>16.8</v>
      </c>
      <c r="M551" s="9">
        <f t="shared" si="40"/>
        <v>19.8</v>
      </c>
      <c r="N551" s="899">
        <v>0</v>
      </c>
      <c r="O551" s="900">
        <f t="shared" si="42"/>
        <v>10</v>
      </c>
      <c r="P551" s="901">
        <f t="shared" si="41"/>
        <v>198</v>
      </c>
      <c r="Q551" s="874"/>
      <c r="R551" s="874"/>
      <c r="S551" s="841"/>
      <c r="T551" s="854"/>
    </row>
    <row r="552" spans="1:20" s="344" customFormat="1" ht="25.5">
      <c r="A552" s="915"/>
      <c r="B552" s="919"/>
      <c r="C552" s="913"/>
      <c r="D552" s="239" t="s">
        <v>1016</v>
      </c>
      <c r="E552" s="805">
        <f>'[3]Plan Tron'!B278</f>
        <v>7110</v>
      </c>
      <c r="F552" s="805" t="str">
        <f>'[3]Plan Tron'!C278</f>
        <v>SINAPI (INSUMO)</v>
      </c>
      <c r="G552" s="643" t="str">
        <f>'[3]Plan Tron'!D278</f>
        <v xml:space="preserve">TE PVC, ROSCAVEL, 90 GRAUS, 2", AGUA FRIA PREDIAL </v>
      </c>
      <c r="H552" s="805" t="str">
        <f>'[3]Plan Tron'!E278</f>
        <v>UN</v>
      </c>
      <c r="I552" s="241">
        <v>2</v>
      </c>
      <c r="J552" s="242"/>
      <c r="K552" s="242">
        <f>'[3]Plan Tron'!F278</f>
        <v>24.3</v>
      </c>
      <c r="L552" s="242">
        <v>16.8</v>
      </c>
      <c r="M552" s="9">
        <f t="shared" si="40"/>
        <v>28.38</v>
      </c>
      <c r="N552" s="899">
        <v>0</v>
      </c>
      <c r="O552" s="900">
        <f t="shared" si="42"/>
        <v>2</v>
      </c>
      <c r="P552" s="901">
        <f t="shared" si="41"/>
        <v>56.76</v>
      </c>
      <c r="Q552" s="874"/>
      <c r="R552" s="874"/>
      <c r="S552" s="841"/>
      <c r="T552" s="854"/>
    </row>
    <row r="553" spans="1:20">
      <c r="D553" s="239"/>
      <c r="E553" s="606"/>
      <c r="F553" s="235"/>
      <c r="G553" s="113"/>
      <c r="H553" s="240"/>
      <c r="I553" s="241"/>
      <c r="J553" s="242"/>
      <c r="K553" s="242"/>
      <c r="L553" s="242"/>
      <c r="M553" s="9"/>
      <c r="N553" s="899"/>
      <c r="O553" s="900"/>
      <c r="P553" s="901"/>
      <c r="Q553" s="874"/>
      <c r="R553" s="874"/>
      <c r="S553" s="841"/>
      <c r="T553" s="854"/>
    </row>
    <row r="554" spans="1:20">
      <c r="D554" s="239" t="s">
        <v>14</v>
      </c>
      <c r="E554" s="606"/>
      <c r="F554" s="235"/>
      <c r="G554" s="113" t="s">
        <v>1015</v>
      </c>
      <c r="H554" s="240"/>
      <c r="I554" s="241"/>
      <c r="J554" s="242"/>
      <c r="K554" s="242"/>
      <c r="L554" s="242"/>
      <c r="M554" s="9"/>
      <c r="N554" s="899"/>
      <c r="O554" s="900"/>
      <c r="P554" s="901"/>
      <c r="Q554" s="874"/>
      <c r="R554" s="874"/>
      <c r="S554" s="841"/>
      <c r="T554" s="854"/>
    </row>
    <row r="555" spans="1:20" s="610" customFormat="1">
      <c r="A555" s="915"/>
      <c r="B555" s="919" t="s">
        <v>2457</v>
      </c>
      <c r="C555" s="913"/>
      <c r="D555" s="239" t="s">
        <v>181</v>
      </c>
      <c r="E555" s="606" t="s">
        <v>1870</v>
      </c>
      <c r="F555" s="235"/>
      <c r="G555" s="113" t="s">
        <v>1014</v>
      </c>
      <c r="H555" s="240" t="s">
        <v>246</v>
      </c>
      <c r="I555" s="241">
        <f>18+5</f>
        <v>23</v>
      </c>
      <c r="J555" s="242">
        <v>5.19</v>
      </c>
      <c r="K555" s="9">
        <f>J555*$S$3</f>
        <v>6.7989000000000006</v>
      </c>
      <c r="L555" s="242">
        <v>16.8</v>
      </c>
      <c r="M555" s="9">
        <f t="shared" si="40"/>
        <v>7.94</v>
      </c>
      <c r="N555" s="899">
        <v>0</v>
      </c>
      <c r="O555" s="900">
        <f t="shared" si="42"/>
        <v>23</v>
      </c>
      <c r="P555" s="901">
        <f t="shared" si="41"/>
        <v>182.62</v>
      </c>
      <c r="Q555" s="873"/>
      <c r="R555" s="873"/>
      <c r="S555" s="840"/>
      <c r="T555" s="853"/>
    </row>
    <row r="556" spans="1:20" s="610" customFormat="1">
      <c r="A556" s="915" t="s">
        <v>2456</v>
      </c>
      <c r="B556" s="919"/>
      <c r="C556" s="913"/>
      <c r="D556" s="239" t="s">
        <v>180</v>
      </c>
      <c r="E556" s="606" t="s">
        <v>1869</v>
      </c>
      <c r="F556" s="235"/>
      <c r="G556" s="113" t="s">
        <v>1013</v>
      </c>
      <c r="H556" s="240" t="s">
        <v>246</v>
      </c>
      <c r="I556" s="241">
        <v>18</v>
      </c>
      <c r="J556" s="242">
        <v>2.15</v>
      </c>
      <c r="K556" s="9">
        <f>J556*$S$3</f>
        <v>2.8165</v>
      </c>
      <c r="L556" s="242">
        <v>16.8</v>
      </c>
      <c r="M556" s="9">
        <f t="shared" si="40"/>
        <v>3.29</v>
      </c>
      <c r="N556" s="899">
        <v>0</v>
      </c>
      <c r="O556" s="900">
        <f t="shared" si="42"/>
        <v>18</v>
      </c>
      <c r="P556" s="901">
        <f t="shared" si="41"/>
        <v>59.22</v>
      </c>
      <c r="Q556" s="873"/>
      <c r="R556" s="873"/>
      <c r="S556" s="840"/>
      <c r="T556" s="853"/>
    </row>
    <row r="557" spans="1:20">
      <c r="D557" s="239"/>
      <c r="E557" s="606"/>
      <c r="F557" s="235"/>
      <c r="G557" s="113"/>
      <c r="H557" s="240"/>
      <c r="I557" s="241"/>
      <c r="J557" s="242"/>
      <c r="K557" s="242"/>
      <c r="L557" s="242"/>
      <c r="M557" s="9"/>
      <c r="N557" s="899"/>
      <c r="O557" s="900"/>
      <c r="P557" s="901"/>
      <c r="Q557" s="874"/>
      <c r="R557" s="874"/>
      <c r="S557" s="841"/>
      <c r="T557" s="854"/>
    </row>
    <row r="558" spans="1:20">
      <c r="D558" s="239"/>
      <c r="E558" s="606"/>
      <c r="F558" s="235"/>
      <c r="G558" s="113"/>
      <c r="H558" s="240"/>
      <c r="I558" s="241"/>
      <c r="J558" s="242"/>
      <c r="K558" s="242"/>
      <c r="L558" s="242"/>
      <c r="M558" s="9"/>
      <c r="N558" s="899"/>
      <c r="O558" s="900"/>
      <c r="P558" s="901"/>
      <c r="Q558" s="874"/>
      <c r="R558" s="874"/>
      <c r="S558" s="841"/>
      <c r="T558" s="854"/>
    </row>
    <row r="559" spans="1:20">
      <c r="D559" s="239" t="s">
        <v>15</v>
      </c>
      <c r="E559" s="259"/>
      <c r="F559" s="233"/>
      <c r="G559" s="113" t="s">
        <v>1012</v>
      </c>
      <c r="H559" s="244"/>
      <c r="I559" s="245"/>
      <c r="J559" s="246"/>
      <c r="K559" s="246"/>
      <c r="L559" s="242"/>
      <c r="M559" s="9"/>
      <c r="N559" s="899"/>
      <c r="O559" s="900"/>
      <c r="P559" s="901"/>
      <c r="Q559" s="874"/>
      <c r="R559" s="874"/>
      <c r="S559" s="841"/>
      <c r="T559" s="854"/>
    </row>
    <row r="560" spans="1:20" s="885" customFormat="1" ht="25.5">
      <c r="A560" s="915"/>
      <c r="B560" s="919"/>
      <c r="C560" s="913"/>
      <c r="D560" s="239" t="s">
        <v>249</v>
      </c>
      <c r="E560" s="606" t="s">
        <v>1010</v>
      </c>
      <c r="F560" s="235"/>
      <c r="G560" s="113" t="s">
        <v>1011</v>
      </c>
      <c r="H560" s="240" t="s">
        <v>326</v>
      </c>
      <c r="I560" s="241">
        <v>1</v>
      </c>
      <c r="J560" s="242">
        <v>11305</v>
      </c>
      <c r="K560" s="242">
        <v>12100</v>
      </c>
      <c r="L560" s="242">
        <v>16.8</v>
      </c>
      <c r="M560" s="9">
        <f t="shared" si="40"/>
        <v>14132.8</v>
      </c>
      <c r="N560" s="899">
        <v>0</v>
      </c>
      <c r="O560" s="900">
        <f t="shared" si="42"/>
        <v>1</v>
      </c>
      <c r="P560" s="901">
        <f t="shared" si="41"/>
        <v>14132.8</v>
      </c>
      <c r="Q560" s="877">
        <v>233</v>
      </c>
      <c r="R560" s="877" t="s">
        <v>2417</v>
      </c>
      <c r="S560" s="883"/>
      <c r="T560" s="884"/>
    </row>
    <row r="561" spans="1:20">
      <c r="D561" s="49" t="s">
        <v>14</v>
      </c>
      <c r="E561" s="345"/>
      <c r="F561" s="11"/>
      <c r="G561" s="12" t="s">
        <v>1009</v>
      </c>
      <c r="H561" s="7"/>
      <c r="I561" s="21"/>
      <c r="J561" s="27"/>
      <c r="K561" s="27"/>
      <c r="L561" s="9"/>
      <c r="M561" s="9"/>
      <c r="N561" s="899"/>
      <c r="O561" s="900"/>
      <c r="P561" s="901"/>
      <c r="Q561" s="874"/>
      <c r="R561" s="874"/>
      <c r="S561" s="841"/>
      <c r="T561" s="854"/>
    </row>
    <row r="562" spans="1:20" s="344" customFormat="1" ht="25.5">
      <c r="A562" s="915"/>
      <c r="B562" s="919"/>
      <c r="C562" s="913"/>
      <c r="D562" s="49" t="s">
        <v>181</v>
      </c>
      <c r="E562" s="805">
        <f>'[3]Plan Tron'!B279</f>
        <v>3992</v>
      </c>
      <c r="F562" s="805" t="str">
        <f>'[3]Plan Tron'!C279</f>
        <v>SINAPI (INSUMO)</v>
      </c>
      <c r="G562" s="643" t="str">
        <f>'[3]Plan Tron'!D279</f>
        <v>TABUA DE MADEIRA APARELHADA *2,5 X 30* CM, MACARANDUBA, ANGELIM OU EQUIVALENTE DA REGIAO</v>
      </c>
      <c r="H562" s="805" t="str">
        <f>'[3]Plan Tron'!E279</f>
        <v>M</v>
      </c>
      <c r="I562" s="21">
        <v>26.6</v>
      </c>
      <c r="J562" s="27">
        <v>19.829999999999998</v>
      </c>
      <c r="K562" s="27">
        <f>'[3]Plan Tron'!F279</f>
        <v>17.48</v>
      </c>
      <c r="L562" s="9">
        <v>26.44</v>
      </c>
      <c r="M562" s="9">
        <f t="shared" si="40"/>
        <v>22.1</v>
      </c>
      <c r="N562" s="899">
        <v>0</v>
      </c>
      <c r="O562" s="900">
        <f t="shared" si="42"/>
        <v>26.6</v>
      </c>
      <c r="P562" s="901">
        <f t="shared" si="41"/>
        <v>587.86</v>
      </c>
      <c r="Q562" s="874"/>
      <c r="R562" s="874"/>
      <c r="S562" s="841"/>
      <c r="T562" s="854"/>
    </row>
    <row r="563" spans="1:20" s="800" customFormat="1">
      <c r="A563" s="915"/>
      <c r="B563" s="919"/>
      <c r="C563" s="913"/>
      <c r="D563" s="49" t="s">
        <v>180</v>
      </c>
      <c r="E563" s="345" t="s">
        <v>1007</v>
      </c>
      <c r="F563" s="11"/>
      <c r="G563" s="12" t="s">
        <v>1008</v>
      </c>
      <c r="H563" s="7" t="s">
        <v>110</v>
      </c>
      <c r="I563" s="21">
        <v>49.4</v>
      </c>
      <c r="J563" s="27">
        <v>7.95</v>
      </c>
      <c r="K563" s="27">
        <v>7.92</v>
      </c>
      <c r="L563" s="9">
        <v>26.44</v>
      </c>
      <c r="M563" s="9">
        <f t="shared" si="40"/>
        <v>10.01</v>
      </c>
      <c r="N563" s="899">
        <v>0</v>
      </c>
      <c r="O563" s="900">
        <f t="shared" si="42"/>
        <v>49.4</v>
      </c>
      <c r="P563" s="901">
        <f t="shared" si="41"/>
        <v>494.49</v>
      </c>
      <c r="Q563" s="875"/>
      <c r="R563" s="875"/>
      <c r="S563" s="844"/>
      <c r="T563" s="857"/>
    </row>
    <row r="564" spans="1:20">
      <c r="D564" s="239"/>
      <c r="E564" s="606"/>
      <c r="F564" s="235"/>
      <c r="G564" s="235"/>
      <c r="H564" s="240"/>
      <c r="I564" s="236"/>
      <c r="J564" s="246"/>
      <c r="K564" s="246"/>
      <c r="L564" s="246"/>
      <c r="M564" s="9"/>
      <c r="N564" s="926"/>
      <c r="O564" s="900"/>
      <c r="P564" s="901"/>
      <c r="Q564" s="874"/>
      <c r="R564" s="874"/>
      <c r="S564" s="841"/>
      <c r="T564" s="854"/>
    </row>
    <row r="565" spans="1:20">
      <c r="D565" s="49"/>
      <c r="E565" s="14"/>
      <c r="F565" s="17"/>
      <c r="G565" s="14"/>
      <c r="H565" s="240"/>
      <c r="I565" s="192"/>
      <c r="J565" s="10"/>
      <c r="K565" s="10"/>
      <c r="L565" s="10"/>
      <c r="M565" s="9"/>
      <c r="N565" s="936"/>
      <c r="O565" s="900"/>
      <c r="P565" s="901"/>
      <c r="Q565" s="874"/>
      <c r="R565" s="874"/>
      <c r="S565" s="841"/>
      <c r="T565" s="854"/>
    </row>
    <row r="566" spans="1:20">
      <c r="D566" s="49"/>
      <c r="E566" s="14"/>
      <c r="F566" s="17"/>
      <c r="G566" s="14"/>
      <c r="H566" s="240"/>
      <c r="I566" s="192"/>
      <c r="J566" s="10"/>
      <c r="K566" s="10"/>
      <c r="L566" s="10"/>
      <c r="M566" s="9"/>
      <c r="N566" s="926"/>
      <c r="O566" s="900"/>
      <c r="P566" s="901"/>
      <c r="Q566" s="874"/>
      <c r="R566" s="874"/>
      <c r="S566" s="841"/>
      <c r="T566" s="854"/>
    </row>
    <row r="567" spans="1:20">
      <c r="D567" s="45">
        <v>2</v>
      </c>
      <c r="E567" s="14"/>
      <c r="F567" s="17"/>
      <c r="G567" s="53" t="s">
        <v>1006</v>
      </c>
      <c r="H567" s="240"/>
      <c r="I567" s="192"/>
      <c r="J567" s="10"/>
      <c r="K567" s="10"/>
      <c r="L567" s="10"/>
      <c r="M567" s="9"/>
      <c r="N567" s="926"/>
      <c r="O567" s="900"/>
      <c r="P567" s="901"/>
      <c r="Q567" s="874"/>
      <c r="R567" s="874"/>
      <c r="S567" s="841"/>
      <c r="T567" s="854"/>
    </row>
    <row r="568" spans="1:20">
      <c r="D568" s="247" t="s">
        <v>9</v>
      </c>
      <c r="E568" s="825"/>
      <c r="F568" s="248"/>
      <c r="G568" s="249" t="s">
        <v>1005</v>
      </c>
      <c r="H568" s="250"/>
      <c r="I568" s="251"/>
      <c r="J568" s="252"/>
      <c r="K568" s="252"/>
      <c r="L568" s="252"/>
      <c r="M568" s="9"/>
      <c r="N568" s="926"/>
      <c r="O568" s="900"/>
      <c r="P568" s="901"/>
      <c r="Q568" s="874"/>
      <c r="R568" s="874"/>
      <c r="S568" s="841"/>
      <c r="T568" s="854"/>
    </row>
    <row r="569" spans="1:20">
      <c r="D569" s="49" t="s">
        <v>348</v>
      </c>
      <c r="E569" s="14"/>
      <c r="F569" s="17"/>
      <c r="G569" s="130" t="s">
        <v>970</v>
      </c>
      <c r="H569" s="240"/>
      <c r="I569" s="192"/>
      <c r="J569" s="10"/>
      <c r="K569" s="10"/>
      <c r="L569" s="10"/>
      <c r="M569" s="9"/>
      <c r="N569" s="926"/>
      <c r="O569" s="900"/>
      <c r="P569" s="901"/>
      <c r="Q569" s="874"/>
      <c r="R569" s="874"/>
      <c r="S569" s="841"/>
      <c r="T569" s="854"/>
    </row>
    <row r="570" spans="1:20" s="344" customFormat="1" ht="25.5">
      <c r="A570" s="915"/>
      <c r="B570" s="919"/>
      <c r="C570" s="913"/>
      <c r="D570" s="49" t="s">
        <v>417</v>
      </c>
      <c r="E570" s="805">
        <f>'[3]Plan Tron'!B280</f>
        <v>9835</v>
      </c>
      <c r="F570" s="805" t="str">
        <f>'[3]Plan Tron'!C280</f>
        <v>SINAPI (INSUMO)</v>
      </c>
      <c r="G570" s="643" t="str">
        <f>'[3]Plan Tron'!D280</f>
        <v xml:space="preserve">TUBO PVC SERIE NORMAL, DN 40 MM, PARA ESGOTO PREDIAL (NBR 5688) </v>
      </c>
      <c r="H570" s="805" t="str">
        <f>'[3]Plan Tron'!E280</f>
        <v>M</v>
      </c>
      <c r="I570" s="192">
        <f>6*2</f>
        <v>12</v>
      </c>
      <c r="J570" s="10">
        <v>2.95</v>
      </c>
      <c r="K570" s="10">
        <f>'[3]Plan Tron'!F280</f>
        <v>3.71</v>
      </c>
      <c r="L570" s="10">
        <v>16.8</v>
      </c>
      <c r="M570" s="9">
        <f t="shared" si="40"/>
        <v>4.33</v>
      </c>
      <c r="N570" s="899">
        <v>0</v>
      </c>
      <c r="O570" s="900">
        <f t="shared" si="42"/>
        <v>12</v>
      </c>
      <c r="P570" s="901">
        <f t="shared" si="41"/>
        <v>51.96</v>
      </c>
      <c r="Q570" s="874"/>
      <c r="R570" s="874"/>
      <c r="S570" s="841"/>
      <c r="T570" s="854"/>
    </row>
    <row r="571" spans="1:20" s="344" customFormat="1" ht="25.5">
      <c r="A571" s="915"/>
      <c r="B571" s="919"/>
      <c r="C571" s="913"/>
      <c r="D571" s="49" t="s">
        <v>809</v>
      </c>
      <c r="E571" s="805">
        <f>'[3]Plan Tron'!B281</f>
        <v>9838</v>
      </c>
      <c r="F571" s="805" t="str">
        <f>'[3]Plan Tron'!C281</f>
        <v>SINAPI (INSUMO)</v>
      </c>
      <c r="G571" s="643" t="str">
        <f>'[3]Plan Tron'!D281</f>
        <v xml:space="preserve">TUBO PVC SERIE NORMAL, DN 50 MM, PARA ESGOTO PREDIAL (NBR 5688) </v>
      </c>
      <c r="H571" s="805" t="str">
        <f>'[3]Plan Tron'!E281</f>
        <v>M</v>
      </c>
      <c r="I571" s="192">
        <f>6*4</f>
        <v>24</v>
      </c>
      <c r="J571" s="10">
        <v>5.58</v>
      </c>
      <c r="K571" s="10">
        <f>'[3]Plan Tron'!F281</f>
        <v>6.38</v>
      </c>
      <c r="L571" s="10">
        <v>16.8</v>
      </c>
      <c r="M571" s="9">
        <f t="shared" si="40"/>
        <v>7.45</v>
      </c>
      <c r="N571" s="899">
        <v>0</v>
      </c>
      <c r="O571" s="900">
        <f t="shared" si="42"/>
        <v>24</v>
      </c>
      <c r="P571" s="901">
        <f t="shared" si="41"/>
        <v>178.8</v>
      </c>
      <c r="Q571" s="874"/>
      <c r="R571" s="874"/>
      <c r="S571" s="841"/>
      <c r="T571" s="854"/>
    </row>
    <row r="572" spans="1:20" s="344" customFormat="1" ht="25.5">
      <c r="A572" s="915"/>
      <c r="B572" s="919"/>
      <c r="C572" s="913"/>
      <c r="D572" s="49" t="s">
        <v>808</v>
      </c>
      <c r="E572" s="805">
        <f>'[3]Plan Tron'!B282</f>
        <v>9836</v>
      </c>
      <c r="F572" s="805" t="str">
        <f>'[3]Plan Tron'!C282</f>
        <v>SINAPI (INSUMO)</v>
      </c>
      <c r="G572" s="643" t="str">
        <f>'[3]Plan Tron'!D282</f>
        <v xml:space="preserve">TUBO PVC SERIE NORMAL, DN 100 MM, PARA ESGOTO PREDIAL (NBR 5688) </v>
      </c>
      <c r="H572" s="805" t="str">
        <f>'[3]Plan Tron'!E282</f>
        <v>M</v>
      </c>
      <c r="I572" s="192">
        <f>6*5</f>
        <v>30</v>
      </c>
      <c r="J572" s="10">
        <v>8.5299999999999994</v>
      </c>
      <c r="K572" s="10">
        <f>'[3]Plan Tron'!F282</f>
        <v>9.8000000000000007</v>
      </c>
      <c r="L572" s="10">
        <v>16.8</v>
      </c>
      <c r="M572" s="9">
        <f t="shared" si="40"/>
        <v>11.45</v>
      </c>
      <c r="N572" s="899">
        <v>0</v>
      </c>
      <c r="O572" s="900">
        <f t="shared" si="42"/>
        <v>30</v>
      </c>
      <c r="P572" s="901">
        <f t="shared" si="41"/>
        <v>343.5</v>
      </c>
      <c r="Q572" s="874"/>
      <c r="R572" s="874"/>
      <c r="S572" s="841"/>
      <c r="T572" s="854"/>
    </row>
    <row r="573" spans="1:20">
      <c r="D573" s="49" t="s">
        <v>740</v>
      </c>
      <c r="E573" s="348"/>
      <c r="F573" s="74"/>
      <c r="G573" s="130" t="s">
        <v>1004</v>
      </c>
      <c r="H573" s="240"/>
      <c r="I573" s="192"/>
      <c r="J573" s="10"/>
      <c r="K573" s="10"/>
      <c r="L573" s="10"/>
      <c r="M573" s="9"/>
      <c r="N573" s="899"/>
      <c r="O573" s="900"/>
      <c r="P573" s="901"/>
      <c r="Q573" s="874"/>
      <c r="R573" s="874"/>
      <c r="S573" s="841"/>
      <c r="T573" s="854"/>
    </row>
    <row r="574" spans="1:20" s="344" customFormat="1" ht="25.5">
      <c r="A574" s="915"/>
      <c r="B574" s="919"/>
      <c r="C574" s="913"/>
      <c r="D574" s="49" t="s">
        <v>1003</v>
      </c>
      <c r="E574" s="805">
        <f>'[3]Plan Tron'!B283</f>
        <v>20151</v>
      </c>
      <c r="F574" s="805" t="str">
        <f>'[3]Plan Tron'!C283</f>
        <v>SINAPI (INSUMO)</v>
      </c>
      <c r="G574" s="643" t="str">
        <f>'[3]Plan Tron'!D283</f>
        <v xml:space="preserve">JOELHO, PVC SERIE R, 45 GRAUS, DN 100 MM, PARA ESGOTO PREDIAL </v>
      </c>
      <c r="H574" s="805" t="str">
        <f>'[3]Plan Tron'!E283</f>
        <v>UN</v>
      </c>
      <c r="I574" s="192">
        <v>1</v>
      </c>
      <c r="J574" s="10">
        <v>17.45</v>
      </c>
      <c r="K574" s="10">
        <f>'[3]Plan Tron'!F283</f>
        <v>20.010000000000002</v>
      </c>
      <c r="L574" s="10">
        <v>16.8</v>
      </c>
      <c r="M574" s="9">
        <f t="shared" si="40"/>
        <v>23.37</v>
      </c>
      <c r="N574" s="899">
        <v>0</v>
      </c>
      <c r="O574" s="900">
        <f t="shared" si="42"/>
        <v>1</v>
      </c>
      <c r="P574" s="901">
        <f t="shared" si="41"/>
        <v>23.37</v>
      </c>
      <c r="Q574" s="874"/>
      <c r="R574" s="874"/>
      <c r="S574" s="841"/>
      <c r="T574" s="854"/>
    </row>
    <row r="575" spans="1:20" s="344" customFormat="1" ht="25.5">
      <c r="A575" s="915"/>
      <c r="B575" s="919"/>
      <c r="C575" s="913"/>
      <c r="D575" s="49" t="s">
        <v>1002</v>
      </c>
      <c r="E575" s="805">
        <f>'[3]Plan Tron'!B284</f>
        <v>20149</v>
      </c>
      <c r="F575" s="805" t="str">
        <f>'[3]Plan Tron'!C284</f>
        <v>SINAPI (INSUMO)</v>
      </c>
      <c r="G575" s="643" t="str">
        <f>'[3]Plan Tron'!D284</f>
        <v xml:space="preserve">JOELHO, PVC SERIE R, 45 GRAUS, DN 50 MM, PARA ESGOTO PREDIAL </v>
      </c>
      <c r="H575" s="805" t="str">
        <f>'[3]Plan Tron'!E284</f>
        <v>UN</v>
      </c>
      <c r="I575" s="192">
        <v>7</v>
      </c>
      <c r="J575" s="10">
        <v>5.25</v>
      </c>
      <c r="K575" s="10">
        <f>'[3]Plan Tron'!F284</f>
        <v>5.53</v>
      </c>
      <c r="L575" s="10">
        <v>16.8</v>
      </c>
      <c r="M575" s="9">
        <f t="shared" si="40"/>
        <v>6.46</v>
      </c>
      <c r="N575" s="899">
        <v>0</v>
      </c>
      <c r="O575" s="900">
        <f t="shared" si="42"/>
        <v>7</v>
      </c>
      <c r="P575" s="901">
        <f t="shared" si="41"/>
        <v>45.22</v>
      </c>
      <c r="Q575" s="874"/>
      <c r="R575" s="874"/>
      <c r="S575" s="841"/>
      <c r="T575" s="854"/>
    </row>
    <row r="576" spans="1:20" s="344" customFormat="1" ht="25.5">
      <c r="A576" s="915"/>
      <c r="B576" s="919"/>
      <c r="C576" s="913"/>
      <c r="D576" s="49" t="s">
        <v>1001</v>
      </c>
      <c r="E576" s="805">
        <f>'[3]Plan Tron'!B285</f>
        <v>20148</v>
      </c>
      <c r="F576" s="805" t="str">
        <f>'[3]Plan Tron'!C285</f>
        <v>SINAPI (INSUMO)</v>
      </c>
      <c r="G576" s="643" t="str">
        <f>'[3]Plan Tron'!D285</f>
        <v xml:space="preserve">JOELHO, PVC SERIE R, 45 GRAUS, DN 40 MM, PARA ESGOTO PREDIAL </v>
      </c>
      <c r="H576" s="805" t="str">
        <f>'[3]Plan Tron'!E285</f>
        <v>UN</v>
      </c>
      <c r="I576" s="192">
        <v>3</v>
      </c>
      <c r="J576" s="10">
        <v>3.45</v>
      </c>
      <c r="K576" s="10">
        <f>'[3]Plan Tron'!F285</f>
        <v>3.68</v>
      </c>
      <c r="L576" s="10">
        <v>16.8</v>
      </c>
      <c r="M576" s="9">
        <f t="shared" si="40"/>
        <v>4.3</v>
      </c>
      <c r="N576" s="899">
        <v>0</v>
      </c>
      <c r="O576" s="900">
        <f t="shared" si="42"/>
        <v>3</v>
      </c>
      <c r="P576" s="901">
        <f t="shared" si="41"/>
        <v>12.9</v>
      </c>
      <c r="Q576" s="874"/>
      <c r="R576" s="874"/>
      <c r="S576" s="841"/>
      <c r="T576" s="854"/>
    </row>
    <row r="577" spans="1:20" s="344" customFormat="1" ht="25.5">
      <c r="A577" s="915"/>
      <c r="B577" s="919"/>
      <c r="C577" s="913"/>
      <c r="D577" s="49" t="s">
        <v>1000</v>
      </c>
      <c r="E577" s="805">
        <f>'[3]Plan Tron'!B286</f>
        <v>20155</v>
      </c>
      <c r="F577" s="805" t="str">
        <f>'[3]Plan Tron'!C286</f>
        <v>SINAPI (INSUMO)</v>
      </c>
      <c r="G577" s="643" t="str">
        <f>'[3]Plan Tron'!D286</f>
        <v xml:space="preserve">JOELHO, PVC SERIE R, 90 GRAUS, DN 50 MM, PARA ESGOTO PREDIAL </v>
      </c>
      <c r="H577" s="805" t="str">
        <f>'[3]Plan Tron'!E286</f>
        <v>UN</v>
      </c>
      <c r="I577" s="192">
        <v>9</v>
      </c>
      <c r="J577" s="10">
        <v>6</v>
      </c>
      <c r="K577" s="10">
        <f>'[3]Plan Tron'!F286</f>
        <v>6.34</v>
      </c>
      <c r="L577" s="10">
        <v>16.8</v>
      </c>
      <c r="M577" s="9">
        <f t="shared" si="40"/>
        <v>7.41</v>
      </c>
      <c r="N577" s="899">
        <v>0</v>
      </c>
      <c r="O577" s="900">
        <f t="shared" si="42"/>
        <v>9</v>
      </c>
      <c r="P577" s="901">
        <f t="shared" si="41"/>
        <v>66.69</v>
      </c>
      <c r="Q577" s="874"/>
      <c r="R577" s="874"/>
      <c r="S577" s="841"/>
      <c r="T577" s="854"/>
    </row>
    <row r="578" spans="1:20" s="344" customFormat="1" ht="25.5">
      <c r="A578" s="915"/>
      <c r="B578" s="919"/>
      <c r="C578" s="913"/>
      <c r="D578" s="49" t="s">
        <v>999</v>
      </c>
      <c r="E578" s="805">
        <f>'[3]Plan Tron'!B287</f>
        <v>20157</v>
      </c>
      <c r="F578" s="805" t="str">
        <f>'[3]Plan Tron'!C287</f>
        <v>SINAPI (INSUMO)</v>
      </c>
      <c r="G578" s="643" t="str">
        <f>'[3]Plan Tron'!D287</f>
        <v xml:space="preserve">JOELHO, PVC SERIE R, 90 GRAUS, DN 100 MM, PARA ESGOTO PREDIAL </v>
      </c>
      <c r="H578" s="805" t="str">
        <f>'[3]Plan Tron'!E287</f>
        <v>UN</v>
      </c>
      <c r="I578" s="192">
        <v>8</v>
      </c>
      <c r="J578" s="10">
        <v>21.3</v>
      </c>
      <c r="K578" s="10">
        <f>'[3]Plan Tron'!F287</f>
        <v>24.88</v>
      </c>
      <c r="L578" s="10">
        <v>16.8</v>
      </c>
      <c r="M578" s="9">
        <f t="shared" si="40"/>
        <v>29.06</v>
      </c>
      <c r="N578" s="899">
        <v>0</v>
      </c>
      <c r="O578" s="900">
        <f t="shared" si="42"/>
        <v>8</v>
      </c>
      <c r="P578" s="901">
        <f t="shared" si="41"/>
        <v>232.48</v>
      </c>
      <c r="Q578" s="874"/>
      <c r="R578" s="874"/>
      <c r="S578" s="841"/>
      <c r="T578" s="854"/>
    </row>
    <row r="579" spans="1:20" s="344" customFormat="1" ht="25.5">
      <c r="A579" s="915"/>
      <c r="B579" s="919"/>
      <c r="C579" s="913"/>
      <c r="D579" s="49" t="s">
        <v>998</v>
      </c>
      <c r="E579" s="805">
        <f>'[3]Plan Tron'!B288</f>
        <v>20154</v>
      </c>
      <c r="F579" s="805" t="str">
        <f>'[3]Plan Tron'!C288</f>
        <v>SINAPI (INSUMO)</v>
      </c>
      <c r="G579" s="643" t="str">
        <f>'[3]Plan Tron'!D288</f>
        <v xml:space="preserve">JOELHO, PVC SERIE R, 90 GRAUS, DN 40 MM, PARA ESGOTO PREDIAL </v>
      </c>
      <c r="H579" s="805" t="str">
        <f>'[3]Plan Tron'!E288</f>
        <v>UN</v>
      </c>
      <c r="I579" s="192">
        <v>10</v>
      </c>
      <c r="J579" s="10">
        <v>3.8</v>
      </c>
      <c r="K579" s="10">
        <f>'[3]Plan Tron'!F288</f>
        <v>4.05</v>
      </c>
      <c r="L579" s="10">
        <v>16.8</v>
      </c>
      <c r="M579" s="9">
        <f t="shared" si="40"/>
        <v>4.7300000000000004</v>
      </c>
      <c r="N579" s="899">
        <v>0</v>
      </c>
      <c r="O579" s="900">
        <f t="shared" si="42"/>
        <v>10</v>
      </c>
      <c r="P579" s="901">
        <f t="shared" si="41"/>
        <v>47.3</v>
      </c>
      <c r="Q579" s="874"/>
      <c r="R579" s="874"/>
      <c r="S579" s="841"/>
      <c r="T579" s="854"/>
    </row>
    <row r="580" spans="1:20" s="344" customFormat="1" ht="25.5">
      <c r="A580" s="915"/>
      <c r="B580" s="919"/>
      <c r="C580" s="913"/>
      <c r="D580" s="49" t="s">
        <v>997</v>
      </c>
      <c r="E580" s="805">
        <f>'[3]Plan Tron'!B289</f>
        <v>3670</v>
      </c>
      <c r="F580" s="805" t="str">
        <f>'[3]Plan Tron'!C289</f>
        <v>SINAPI (INSUMO)</v>
      </c>
      <c r="G580" s="643" t="str">
        <f>'[3]Plan Tron'!D289</f>
        <v xml:space="preserve">JUNCAO SIMPLES, PVC, 45 GRAUS, DN 100 X 100 MM, SERIE NORMAL PARA ESGOTO PREDIAL </v>
      </c>
      <c r="H580" s="805" t="str">
        <f>'[3]Plan Tron'!E289</f>
        <v>UN</v>
      </c>
      <c r="I580" s="192">
        <v>4</v>
      </c>
      <c r="J580" s="10">
        <v>14.2</v>
      </c>
      <c r="K580" s="10">
        <f>'[3]Plan Tron'!F289</f>
        <v>17.84</v>
      </c>
      <c r="L580" s="10">
        <v>16.8</v>
      </c>
      <c r="M580" s="9">
        <f t="shared" si="40"/>
        <v>20.84</v>
      </c>
      <c r="N580" s="899">
        <v>0</v>
      </c>
      <c r="O580" s="900">
        <f t="shared" si="42"/>
        <v>4</v>
      </c>
      <c r="P580" s="901">
        <f t="shared" si="41"/>
        <v>83.36</v>
      </c>
      <c r="Q580" s="874"/>
      <c r="R580" s="874"/>
      <c r="S580" s="841"/>
      <c r="T580" s="854"/>
    </row>
    <row r="581" spans="1:20" s="344" customFormat="1" ht="25.5">
      <c r="A581" s="915"/>
      <c r="B581" s="919"/>
      <c r="C581" s="913"/>
      <c r="D581" s="49" t="s">
        <v>996</v>
      </c>
      <c r="E581" s="805">
        <f>'[3]Plan Tron'!B290</f>
        <v>20140</v>
      </c>
      <c r="F581" s="805" t="str">
        <f>'[3]Plan Tron'!C290</f>
        <v>SINAPI (INSUMO)</v>
      </c>
      <c r="G581" s="643" t="str">
        <f>'[3]Plan Tron'!D290</f>
        <v xml:space="preserve">JUNCAO SIMPLES, PVC SERIE R, DN 40 X 40 MM, PARA ESGOTO PREDIAL </v>
      </c>
      <c r="H581" s="805" t="str">
        <f>'[3]Plan Tron'!E290</f>
        <v>UN</v>
      </c>
      <c r="I581" s="192">
        <v>2</v>
      </c>
      <c r="J581" s="10">
        <v>7</v>
      </c>
      <c r="K581" s="10">
        <f>'[3]Plan Tron'!F290</f>
        <v>7.59</v>
      </c>
      <c r="L581" s="10">
        <v>16.8</v>
      </c>
      <c r="M581" s="9">
        <f t="shared" si="40"/>
        <v>8.8699999999999992</v>
      </c>
      <c r="N581" s="899">
        <v>0</v>
      </c>
      <c r="O581" s="900">
        <f t="shared" si="42"/>
        <v>2</v>
      </c>
      <c r="P581" s="901">
        <f t="shared" si="41"/>
        <v>17.739999999999998</v>
      </c>
      <c r="Q581" s="874"/>
      <c r="R581" s="874"/>
      <c r="S581" s="841"/>
      <c r="T581" s="854"/>
    </row>
    <row r="582" spans="1:20" s="344" customFormat="1" ht="25.5">
      <c r="A582" s="915"/>
      <c r="B582" s="919"/>
      <c r="C582" s="913"/>
      <c r="D582" s="49" t="s">
        <v>995</v>
      </c>
      <c r="E582" s="805">
        <f>'[3]Plan Tron'!B291</f>
        <v>20141</v>
      </c>
      <c r="F582" s="805" t="str">
        <f>'[3]Plan Tron'!C291</f>
        <v>SINAPI (INSUMO)</v>
      </c>
      <c r="G582" s="643" t="str">
        <f>'[3]Plan Tron'!D291</f>
        <v xml:space="preserve">JUNCAO SIMPLES, PVC SERIE R, DN 50 X 50 MM, PARA ESGOTO PREDIAL </v>
      </c>
      <c r="H582" s="805" t="str">
        <f>'[3]Plan Tron'!E291</f>
        <v>UN</v>
      </c>
      <c r="I582" s="192">
        <v>7</v>
      </c>
      <c r="J582" s="10">
        <v>10.8</v>
      </c>
      <c r="K582" s="10">
        <f>'[3]Plan Tron'!F291</f>
        <v>11.41</v>
      </c>
      <c r="L582" s="10">
        <v>16.8</v>
      </c>
      <c r="M582" s="9">
        <f t="shared" si="40"/>
        <v>13.33</v>
      </c>
      <c r="N582" s="899">
        <v>0</v>
      </c>
      <c r="O582" s="900">
        <f t="shared" si="42"/>
        <v>7</v>
      </c>
      <c r="P582" s="901">
        <f t="shared" si="41"/>
        <v>93.31</v>
      </c>
      <c r="Q582" s="874"/>
      <c r="R582" s="874"/>
      <c r="S582" s="841"/>
      <c r="T582" s="854"/>
    </row>
    <row r="583" spans="1:20" s="344" customFormat="1" ht="25.5">
      <c r="A583" s="915"/>
      <c r="B583" s="919"/>
      <c r="C583" s="913"/>
      <c r="D583" s="49" t="s">
        <v>994</v>
      </c>
      <c r="E583" s="805">
        <f>'[3]Plan Tron'!B292</f>
        <v>3659</v>
      </c>
      <c r="F583" s="805" t="str">
        <f>'[3]Plan Tron'!C292</f>
        <v>SINAPI (INSUMO)</v>
      </c>
      <c r="G583" s="643" t="str">
        <f>'[3]Plan Tron'!D292</f>
        <v xml:space="preserve">JUNCAO SIMPLES, PVC, DN 100 X 50 MM, SERIE NORMAL PARA ESGOTO PREDIAL </v>
      </c>
      <c r="H583" s="805" t="str">
        <f>'[3]Plan Tron'!E292</f>
        <v>UN</v>
      </c>
      <c r="I583" s="192">
        <v>2</v>
      </c>
      <c r="J583" s="10">
        <v>8.35</v>
      </c>
      <c r="K583" s="10">
        <f>'[3]Plan Tron'!F292</f>
        <v>12.88</v>
      </c>
      <c r="L583" s="10">
        <v>16.8</v>
      </c>
      <c r="M583" s="9">
        <f t="shared" si="40"/>
        <v>15.04</v>
      </c>
      <c r="N583" s="899">
        <v>0</v>
      </c>
      <c r="O583" s="900">
        <f t="shared" si="42"/>
        <v>2</v>
      </c>
      <c r="P583" s="901">
        <f t="shared" si="41"/>
        <v>30.08</v>
      </c>
      <c r="Q583" s="874"/>
      <c r="R583" s="874"/>
      <c r="S583" s="841"/>
      <c r="T583" s="854"/>
    </row>
    <row r="584" spans="1:20" s="344" customFormat="1" ht="25.5">
      <c r="A584" s="915"/>
      <c r="B584" s="919"/>
      <c r="C584" s="913"/>
      <c r="D584" s="49" t="s">
        <v>993</v>
      </c>
      <c r="E584" s="805">
        <f>'[3]Plan Tron'!B293</f>
        <v>20043</v>
      </c>
      <c r="F584" s="805" t="str">
        <f>'[3]Plan Tron'!C293</f>
        <v>SINAPI (INSUMO)</v>
      </c>
      <c r="G584" s="643" t="str">
        <f>'[3]Plan Tron'!D293</f>
        <v xml:space="preserve">REDUCAO EXCENTRICA PVC P/ ESG PREDIAL DN 100 X 50MM </v>
      </c>
      <c r="H584" s="805" t="str">
        <f>'[3]Plan Tron'!E293</f>
        <v>UN</v>
      </c>
      <c r="I584" s="192">
        <v>2</v>
      </c>
      <c r="J584" s="10">
        <v>3.47</v>
      </c>
      <c r="K584" s="10">
        <f>'[3]Plan Tron'!F293</f>
        <v>1.88</v>
      </c>
      <c r="L584" s="10">
        <v>16.8</v>
      </c>
      <c r="M584" s="9">
        <f t="shared" si="40"/>
        <v>2.2000000000000002</v>
      </c>
      <c r="N584" s="899">
        <v>0</v>
      </c>
      <c r="O584" s="900">
        <f t="shared" si="42"/>
        <v>2</v>
      </c>
      <c r="P584" s="901">
        <f t="shared" si="41"/>
        <v>4.4000000000000004</v>
      </c>
      <c r="Q584" s="874"/>
      <c r="R584" s="874"/>
      <c r="S584" s="841"/>
      <c r="T584" s="854"/>
    </row>
    <row r="585" spans="1:20" s="344" customFormat="1" ht="25.5">
      <c r="A585" s="915"/>
      <c r="B585" s="919"/>
      <c r="C585" s="913"/>
      <c r="D585" s="49" t="s">
        <v>992</v>
      </c>
      <c r="E585" s="805">
        <f>'[3]Plan Tron'!B294</f>
        <v>20086</v>
      </c>
      <c r="F585" s="805" t="str">
        <f>'[3]Plan Tron'!C294</f>
        <v>SINAPI (INSUMO)</v>
      </c>
      <c r="G585" s="643" t="str">
        <f>'[3]Plan Tron'!D294</f>
        <v xml:space="preserve">BUCHA DE REDUCAO DE PVC, SOLDAVEL, LONGA, 50 X 40 MM, PARA ESGOTO PREDIAL </v>
      </c>
      <c r="H585" s="805" t="str">
        <f>'[3]Plan Tron'!E294</f>
        <v>UN</v>
      </c>
      <c r="I585" s="192">
        <v>1</v>
      </c>
      <c r="J585" s="10">
        <v>1.21</v>
      </c>
      <c r="K585" s="10">
        <f>'[3]Plan Tron'!F294</f>
        <v>1.97</v>
      </c>
      <c r="L585" s="10">
        <v>16.8</v>
      </c>
      <c r="M585" s="9">
        <f t="shared" si="40"/>
        <v>2.2999999999999998</v>
      </c>
      <c r="N585" s="899">
        <v>0</v>
      </c>
      <c r="O585" s="900">
        <f t="shared" si="42"/>
        <v>1</v>
      </c>
      <c r="P585" s="901">
        <f t="shared" si="41"/>
        <v>2.2999999999999998</v>
      </c>
      <c r="Q585" s="874"/>
      <c r="R585" s="874"/>
      <c r="S585" s="841"/>
      <c r="T585" s="854"/>
    </row>
    <row r="586" spans="1:20" s="344" customFormat="1" ht="25.5">
      <c r="A586" s="915"/>
      <c r="B586" s="919"/>
      <c r="C586" s="913"/>
      <c r="D586" s="49" t="s">
        <v>991</v>
      </c>
      <c r="E586" s="805">
        <f>'[3]Plan Tron'!B295</f>
        <v>7097</v>
      </c>
      <c r="F586" s="805" t="str">
        <f>'[3]Plan Tron'!C295</f>
        <v>SINAPI (INSUMO)</v>
      </c>
      <c r="G586" s="643" t="str">
        <f>'[3]Plan Tron'!D295</f>
        <v xml:space="preserve">TE SANITARIO, PVC, DN 50 X 50 MM, SERIE NORMAL, PARA ESGOTO PREDIAL </v>
      </c>
      <c r="H586" s="805" t="str">
        <f>'[3]Plan Tron'!E295</f>
        <v>UN</v>
      </c>
      <c r="I586" s="192">
        <v>5</v>
      </c>
      <c r="J586" s="10">
        <v>4.55</v>
      </c>
      <c r="K586" s="10">
        <f>'[3]Plan Tron'!F295</f>
        <v>5.72</v>
      </c>
      <c r="L586" s="10">
        <v>16.8</v>
      </c>
      <c r="M586" s="9">
        <f t="shared" si="40"/>
        <v>6.68</v>
      </c>
      <c r="N586" s="899">
        <v>0</v>
      </c>
      <c r="O586" s="900">
        <f t="shared" si="42"/>
        <v>5</v>
      </c>
      <c r="P586" s="901">
        <f t="shared" si="41"/>
        <v>33.4</v>
      </c>
      <c r="Q586" s="874"/>
      <c r="R586" s="874"/>
      <c r="S586" s="841"/>
      <c r="T586" s="854"/>
    </row>
    <row r="587" spans="1:20" s="318" customFormat="1">
      <c r="A587" s="915"/>
      <c r="B587" s="919"/>
      <c r="C587" s="913"/>
      <c r="D587" s="49" t="s">
        <v>738</v>
      </c>
      <c r="E587" s="348"/>
      <c r="F587" s="74"/>
      <c r="G587" s="130" t="s">
        <v>325</v>
      </c>
      <c r="H587" s="240"/>
      <c r="I587" s="192"/>
      <c r="J587" s="10"/>
      <c r="K587" s="10"/>
      <c r="L587" s="10"/>
      <c r="M587" s="9"/>
      <c r="N587" s="899"/>
      <c r="O587" s="900"/>
      <c r="P587" s="901"/>
      <c r="Q587" s="874"/>
      <c r="R587" s="874"/>
      <c r="S587" s="841"/>
      <c r="T587" s="854"/>
    </row>
    <row r="588" spans="1:20" s="344" customFormat="1" ht="25.5">
      <c r="A588" s="915"/>
      <c r="B588" s="919"/>
      <c r="C588" s="913"/>
      <c r="D588" s="49" t="s">
        <v>990</v>
      </c>
      <c r="E588" s="805">
        <f>'[3]Plan Tron'!B296</f>
        <v>5103</v>
      </c>
      <c r="F588" s="805" t="str">
        <f>'[3]Plan Tron'!C296</f>
        <v>SINAPI (INSUMO)</v>
      </c>
      <c r="G588" s="643" t="str">
        <f>'[3]Plan Tron'!D296</f>
        <v xml:space="preserve">CAIXA SIFONADA PVC, 100 X 100 X 50 MM, COM GRELHA REDONDA BRANCA </v>
      </c>
      <c r="H588" s="805" t="str">
        <f>'[3]Plan Tron'!E296</f>
        <v>UN</v>
      </c>
      <c r="I588" s="192">
        <v>4</v>
      </c>
      <c r="J588" s="10">
        <v>10.55</v>
      </c>
      <c r="K588" s="10">
        <f>'[3]Plan Tron'!F296</f>
        <v>10.84</v>
      </c>
      <c r="L588" s="10">
        <v>16.8</v>
      </c>
      <c r="M588" s="9">
        <f t="shared" si="40"/>
        <v>12.66</v>
      </c>
      <c r="N588" s="899">
        <v>0</v>
      </c>
      <c r="O588" s="900">
        <f t="shared" si="42"/>
        <v>4</v>
      </c>
      <c r="P588" s="901">
        <f t="shared" si="41"/>
        <v>50.64</v>
      </c>
      <c r="Q588" s="874"/>
      <c r="R588" s="874"/>
      <c r="S588" s="841"/>
      <c r="T588" s="854"/>
    </row>
    <row r="589" spans="1:20" s="318" customFormat="1">
      <c r="A589" s="915"/>
      <c r="B589" s="919"/>
      <c r="C589" s="913"/>
      <c r="D589" s="49"/>
      <c r="E589" s="348"/>
      <c r="F589" s="74"/>
      <c r="G589" s="130"/>
      <c r="H589" s="240"/>
      <c r="I589" s="192"/>
      <c r="J589" s="10"/>
      <c r="K589" s="10"/>
      <c r="L589" s="10"/>
      <c r="M589" s="9"/>
      <c r="N589" s="899"/>
      <c r="O589" s="900"/>
      <c r="P589" s="901"/>
      <c r="Q589" s="874"/>
      <c r="R589" s="874"/>
      <c r="S589" s="841"/>
      <c r="T589" s="854"/>
    </row>
    <row r="590" spans="1:20" s="318" customFormat="1">
      <c r="A590" s="915"/>
      <c r="B590" s="919"/>
      <c r="C590" s="913"/>
      <c r="D590" s="247" t="s">
        <v>8</v>
      </c>
      <c r="E590" s="348"/>
      <c r="F590" s="74"/>
      <c r="G590" s="249" t="s">
        <v>989</v>
      </c>
      <c r="H590" s="250"/>
      <c r="I590" s="251"/>
      <c r="J590" s="10"/>
      <c r="K590" s="10"/>
      <c r="L590" s="10"/>
      <c r="M590" s="9"/>
      <c r="N590" s="899"/>
      <c r="O590" s="900"/>
      <c r="P590" s="901"/>
      <c r="Q590" s="874"/>
      <c r="R590" s="874"/>
      <c r="S590" s="841"/>
      <c r="T590" s="854"/>
    </row>
    <row r="591" spans="1:20" s="318" customFormat="1">
      <c r="A591" s="915"/>
      <c r="B591" s="919"/>
      <c r="C591" s="913"/>
      <c r="D591" s="49" t="s">
        <v>317</v>
      </c>
      <c r="E591" s="348"/>
      <c r="F591" s="74"/>
      <c r="G591" s="130" t="s">
        <v>703</v>
      </c>
      <c r="H591" s="240"/>
      <c r="I591" s="192"/>
      <c r="J591" s="10"/>
      <c r="K591" s="10"/>
      <c r="L591" s="10"/>
      <c r="M591" s="9"/>
      <c r="N591" s="899"/>
      <c r="O591" s="900"/>
      <c r="P591" s="901"/>
      <c r="Q591" s="874"/>
      <c r="R591" s="874"/>
      <c r="S591" s="841"/>
      <c r="T591" s="854"/>
    </row>
    <row r="592" spans="1:20" s="344" customFormat="1" ht="25.5">
      <c r="A592" s="915"/>
      <c r="B592" s="919"/>
      <c r="C592" s="913"/>
      <c r="D592" s="49" t="s">
        <v>318</v>
      </c>
      <c r="E592" s="805">
        <f>'[3]Plan Tron'!B297</f>
        <v>9836</v>
      </c>
      <c r="F592" s="805" t="str">
        <f>'[3]Plan Tron'!C297</f>
        <v>SINAPI (INSUMO)</v>
      </c>
      <c r="G592" s="643" t="str">
        <f>'[3]Plan Tron'!D297</f>
        <v xml:space="preserve">TUBO PVC SERIE NORMAL, DN 100 MM, PARA ESGOTO PREDIAL (NBR 5688) </v>
      </c>
      <c r="H592" s="805" t="str">
        <f>'[3]Plan Tron'!E297</f>
        <v>M</v>
      </c>
      <c r="I592" s="192">
        <f>6*15</f>
        <v>90</v>
      </c>
      <c r="J592" s="10">
        <v>2.95</v>
      </c>
      <c r="K592" s="10">
        <f>'[3]Plan Tron'!F297</f>
        <v>9.8000000000000007</v>
      </c>
      <c r="L592" s="10">
        <v>16.8</v>
      </c>
      <c r="M592" s="9">
        <f t="shared" si="40"/>
        <v>11.45</v>
      </c>
      <c r="N592" s="899">
        <v>0</v>
      </c>
      <c r="O592" s="900">
        <f t="shared" si="42"/>
        <v>90</v>
      </c>
      <c r="P592" s="901">
        <f t="shared" si="41"/>
        <v>1030.5</v>
      </c>
      <c r="Q592" s="874"/>
      <c r="R592" s="874"/>
      <c r="S592" s="841"/>
      <c r="T592" s="854"/>
    </row>
    <row r="593" spans="1:20" s="318" customFormat="1">
      <c r="A593" s="915"/>
      <c r="B593" s="919"/>
      <c r="C593" s="913"/>
      <c r="D593" s="49" t="s">
        <v>316</v>
      </c>
      <c r="E593" s="348"/>
      <c r="F593" s="74"/>
      <c r="G593" s="130" t="s">
        <v>700</v>
      </c>
      <c r="H593" s="240"/>
      <c r="I593" s="192"/>
      <c r="J593" s="10"/>
      <c r="K593" s="10"/>
      <c r="L593" s="10"/>
      <c r="M593" s="9"/>
      <c r="N593" s="899"/>
      <c r="O593" s="900"/>
      <c r="P593" s="901"/>
      <c r="Q593" s="874"/>
      <c r="R593" s="874"/>
      <c r="S593" s="841"/>
      <c r="T593" s="854"/>
    </row>
    <row r="594" spans="1:20" s="344" customFormat="1" ht="25.5">
      <c r="A594" s="915"/>
      <c r="B594" s="919"/>
      <c r="C594" s="913"/>
      <c r="D594" s="49" t="s">
        <v>988</v>
      </c>
      <c r="E594" s="805">
        <f>'[3]Plan Tron'!B298</f>
        <v>20157</v>
      </c>
      <c r="F594" s="805" t="str">
        <f>'[3]Plan Tron'!C298</f>
        <v>SINAPI (INSUMO)</v>
      </c>
      <c r="G594" s="643" t="str">
        <f>'[3]Plan Tron'!D298</f>
        <v xml:space="preserve">JOELHO, PVC SERIE R, 90 GRAUS, DN 100 MM, PARA ESGOTO PREDIAL </v>
      </c>
      <c r="H594" s="805" t="str">
        <f>'[3]Plan Tron'!E298</f>
        <v>UN</v>
      </c>
      <c r="I594" s="192">
        <v>20</v>
      </c>
      <c r="J594" s="10">
        <v>21.3</v>
      </c>
      <c r="K594" s="10">
        <f>'[3]Plan Tron'!F298</f>
        <v>24.88</v>
      </c>
      <c r="L594" s="10">
        <v>16.8</v>
      </c>
      <c r="M594" s="9">
        <f t="shared" ref="M594:M656" si="43">ROUND(K594*(L594/100+1),2)</f>
        <v>29.06</v>
      </c>
      <c r="N594" s="899">
        <v>0</v>
      </c>
      <c r="O594" s="900">
        <f t="shared" si="42"/>
        <v>20</v>
      </c>
      <c r="P594" s="901">
        <f t="shared" ref="P594:P656" si="44">ROUND(O594*M594,2)</f>
        <v>581.20000000000005</v>
      </c>
      <c r="Q594" s="874"/>
      <c r="R594" s="874"/>
      <c r="S594" s="841"/>
      <c r="T594" s="854"/>
    </row>
    <row r="595" spans="1:20" s="318" customFormat="1">
      <c r="A595" s="915"/>
      <c r="B595" s="919"/>
      <c r="C595" s="913"/>
      <c r="D595" s="49" t="s">
        <v>315</v>
      </c>
      <c r="E595" s="348"/>
      <c r="F595" s="74"/>
      <c r="G595" s="130" t="s">
        <v>325</v>
      </c>
      <c r="H595" s="240"/>
      <c r="I595" s="192"/>
      <c r="J595" s="10"/>
      <c r="K595" s="10"/>
      <c r="L595" s="10"/>
      <c r="M595" s="9"/>
      <c r="N595" s="899"/>
      <c r="O595" s="900"/>
      <c r="P595" s="901"/>
      <c r="Q595" s="874"/>
      <c r="R595" s="874"/>
      <c r="S595" s="841"/>
      <c r="T595" s="854"/>
    </row>
    <row r="596" spans="1:20" s="344" customFormat="1" ht="25.5">
      <c r="A596" s="915"/>
      <c r="B596" s="919"/>
      <c r="C596" s="913"/>
      <c r="D596" s="49" t="s">
        <v>987</v>
      </c>
      <c r="E596" s="805">
        <f>'[3]Plan Tron'!B299</f>
        <v>11929</v>
      </c>
      <c r="F596" s="805" t="str">
        <f>'[3]Plan Tron'!C299</f>
        <v>SINAPI (INSUMO)</v>
      </c>
      <c r="G596" s="643" t="str">
        <f>'[3]Plan Tron'!D299</f>
        <v>ABRACADEIRA, GALVANIZADA/ZINCADA, ROSCA SEM FIM, PARAFUSO INOX, LARGURA FITA *12,6 A *14 MM, D = 4" A 4 3/4"</v>
      </c>
      <c r="H596" s="805" t="str">
        <f>'[3]Plan Tron'!E299</f>
        <v>UN</v>
      </c>
      <c r="I596" s="192">
        <v>60</v>
      </c>
      <c r="J596" s="10">
        <v>4.9000000000000004</v>
      </c>
      <c r="K596" s="10">
        <f>'[3]Plan Tron'!F299</f>
        <v>9.26</v>
      </c>
      <c r="L596" s="10">
        <v>16.8</v>
      </c>
      <c r="M596" s="9">
        <f t="shared" si="43"/>
        <v>10.82</v>
      </c>
      <c r="N596" s="899">
        <v>0</v>
      </c>
      <c r="O596" s="900">
        <f t="shared" si="42"/>
        <v>60</v>
      </c>
      <c r="P596" s="901">
        <f t="shared" si="44"/>
        <v>649.20000000000005</v>
      </c>
      <c r="Q596" s="874"/>
      <c r="R596" s="874"/>
      <c r="S596" s="841"/>
      <c r="T596" s="854"/>
    </row>
    <row r="597" spans="1:20" s="344" customFormat="1" ht="25.5">
      <c r="A597" s="915"/>
      <c r="B597" s="919"/>
      <c r="C597" s="913"/>
      <c r="D597" s="49" t="s">
        <v>986</v>
      </c>
      <c r="E597" s="805">
        <f>'[3]Plan Tron'!B300</f>
        <v>11708</v>
      </c>
      <c r="F597" s="805" t="str">
        <f>'[3]Plan Tron'!C300</f>
        <v>SINAPI (INSUMO)</v>
      </c>
      <c r="G597" s="643" t="str">
        <f>'[3]Plan Tron'!D300</f>
        <v xml:space="preserve">RALO FOFO SEMIESFERICO, 100 MM, PARA LAJES/ CALHAS </v>
      </c>
      <c r="H597" s="805" t="str">
        <f>'[3]Plan Tron'!E300</f>
        <v>UN</v>
      </c>
      <c r="I597" s="192">
        <v>10</v>
      </c>
      <c r="J597" s="10">
        <v>17.399999999999999</v>
      </c>
      <c r="K597" s="10">
        <f>'[3]Plan Tron'!F300</f>
        <v>13</v>
      </c>
      <c r="L597" s="10">
        <v>16.8</v>
      </c>
      <c r="M597" s="9">
        <f t="shared" si="43"/>
        <v>15.18</v>
      </c>
      <c r="N597" s="899">
        <v>0</v>
      </c>
      <c r="O597" s="900">
        <f t="shared" si="42"/>
        <v>10</v>
      </c>
      <c r="P597" s="901">
        <f t="shared" si="44"/>
        <v>151.80000000000001</v>
      </c>
      <c r="Q597" s="874"/>
      <c r="R597" s="874"/>
      <c r="S597" s="841"/>
      <c r="T597" s="854"/>
    </row>
    <row r="598" spans="1:20" s="318" customFormat="1">
      <c r="A598" s="915"/>
      <c r="B598" s="919"/>
      <c r="C598" s="913"/>
      <c r="D598" s="239" t="s">
        <v>723</v>
      </c>
      <c r="E598" s="348"/>
      <c r="F598" s="74"/>
      <c r="G598" s="130" t="s">
        <v>985</v>
      </c>
      <c r="H598" s="240"/>
      <c r="I598" s="236"/>
      <c r="J598" s="246"/>
      <c r="K598" s="246"/>
      <c r="L598" s="246"/>
      <c r="M598" s="9"/>
      <c r="N598" s="899"/>
      <c r="O598" s="900"/>
      <c r="P598" s="901"/>
      <c r="Q598" s="874"/>
      <c r="R598" s="874"/>
      <c r="S598" s="841"/>
      <c r="T598" s="854"/>
    </row>
    <row r="599" spans="1:20" s="837" customFormat="1">
      <c r="A599" s="915"/>
      <c r="B599" s="919"/>
      <c r="C599" s="913"/>
      <c r="D599" s="239" t="s">
        <v>984</v>
      </c>
      <c r="E599" s="935" t="s">
        <v>1892</v>
      </c>
      <c r="F599" s="353"/>
      <c r="G599" s="130" t="s">
        <v>983</v>
      </c>
      <c r="H599" s="240" t="s">
        <v>246</v>
      </c>
      <c r="I599" s="236">
        <v>4</v>
      </c>
      <c r="J599" s="10">
        <v>32.9</v>
      </c>
      <c r="K599" s="9">
        <f>J599*$S$3</f>
        <v>43.098999999999997</v>
      </c>
      <c r="L599" s="242">
        <v>16.8</v>
      </c>
      <c r="M599" s="9">
        <f t="shared" si="43"/>
        <v>50.34</v>
      </c>
      <c r="N599" s="899">
        <v>0</v>
      </c>
      <c r="O599" s="900">
        <f t="shared" si="42"/>
        <v>4</v>
      </c>
      <c r="P599" s="901">
        <f t="shared" si="44"/>
        <v>201.36</v>
      </c>
      <c r="Q599" s="877"/>
      <c r="R599" s="877"/>
      <c r="S599" s="845"/>
      <c r="T599" s="858"/>
    </row>
    <row r="600" spans="1:20" s="800" customFormat="1" ht="25.5">
      <c r="A600" s="915"/>
      <c r="B600" s="919"/>
      <c r="C600" s="913"/>
      <c r="D600" s="239" t="s">
        <v>982</v>
      </c>
      <c r="E600" s="348" t="s">
        <v>980</v>
      </c>
      <c r="F600" s="805" t="s">
        <v>2017</v>
      </c>
      <c r="G600" s="130" t="s">
        <v>981</v>
      </c>
      <c r="H600" s="240" t="s">
        <v>246</v>
      </c>
      <c r="I600" s="236">
        <f>1+10</f>
        <v>11</v>
      </c>
      <c r="J600" s="242">
        <v>24.52</v>
      </c>
      <c r="K600" s="9">
        <f>J600*$S$3</f>
        <v>32.121200000000002</v>
      </c>
      <c r="L600" s="242">
        <v>16.8</v>
      </c>
      <c r="M600" s="9">
        <f t="shared" si="43"/>
        <v>37.520000000000003</v>
      </c>
      <c r="N600" s="899">
        <v>0</v>
      </c>
      <c r="O600" s="900">
        <f t="shared" si="42"/>
        <v>11</v>
      </c>
      <c r="P600" s="901">
        <f t="shared" si="44"/>
        <v>412.72</v>
      </c>
      <c r="Q600" s="875"/>
      <c r="R600" s="875"/>
      <c r="S600" s="844"/>
      <c r="T600" s="857"/>
    </row>
    <row r="601" spans="1:20" s="318" customFormat="1">
      <c r="A601" s="915"/>
      <c r="B601" s="919"/>
      <c r="C601" s="913"/>
      <c r="D601" s="239" t="s">
        <v>720</v>
      </c>
      <c r="E601" s="348"/>
      <c r="F601" s="74"/>
      <c r="G601" s="130" t="s">
        <v>979</v>
      </c>
      <c r="H601" s="240"/>
      <c r="I601" s="236"/>
      <c r="J601" s="242"/>
      <c r="K601" s="242"/>
      <c r="L601" s="242"/>
      <c r="M601" s="9"/>
      <c r="N601" s="899"/>
      <c r="O601" s="900"/>
      <c r="P601" s="901"/>
      <c r="Q601" s="874"/>
      <c r="R601" s="874"/>
      <c r="S601" s="841"/>
      <c r="T601" s="854"/>
    </row>
    <row r="602" spans="1:20" s="800" customFormat="1" ht="25.5">
      <c r="A602" s="915"/>
      <c r="B602" s="919"/>
      <c r="C602" s="913"/>
      <c r="D602" s="239" t="s">
        <v>978</v>
      </c>
      <c r="E602" s="348" t="s">
        <v>976</v>
      </c>
      <c r="F602" s="805" t="s">
        <v>2017</v>
      </c>
      <c r="G602" s="130" t="s">
        <v>977</v>
      </c>
      <c r="H602" s="240" t="s">
        <v>99</v>
      </c>
      <c r="I602" s="236">
        <v>4.4400000000000004</v>
      </c>
      <c r="J602" s="242">
        <v>15.84</v>
      </c>
      <c r="K602" s="9">
        <f>J602*$S$3</f>
        <v>20.750399999999999</v>
      </c>
      <c r="L602" s="242">
        <v>16.8</v>
      </c>
      <c r="M602" s="9">
        <f t="shared" si="43"/>
        <v>24.24</v>
      </c>
      <c r="N602" s="899">
        <v>0</v>
      </c>
      <c r="O602" s="900">
        <f t="shared" si="42"/>
        <v>4.4400000000000004</v>
      </c>
      <c r="P602" s="901">
        <f t="shared" si="44"/>
        <v>107.63</v>
      </c>
      <c r="Q602" s="875"/>
      <c r="R602" s="875"/>
      <c r="S602" s="844"/>
      <c r="T602" s="857"/>
    </row>
    <row r="603" spans="1:20" s="318" customFormat="1">
      <c r="A603" s="915"/>
      <c r="B603" s="919"/>
      <c r="C603" s="913"/>
      <c r="D603" s="239"/>
      <c r="E603" s="348"/>
      <c r="F603" s="74"/>
      <c r="G603" s="130"/>
      <c r="H603" s="240"/>
      <c r="I603" s="236"/>
      <c r="J603" s="242"/>
      <c r="K603" s="242"/>
      <c r="L603" s="242"/>
      <c r="M603" s="9"/>
      <c r="N603" s="899"/>
      <c r="O603" s="900"/>
      <c r="P603" s="901"/>
      <c r="Q603" s="874"/>
      <c r="R603" s="874"/>
      <c r="S603" s="841"/>
      <c r="T603" s="854"/>
    </row>
    <row r="604" spans="1:20" s="318" customFormat="1">
      <c r="A604" s="915"/>
      <c r="B604" s="919"/>
      <c r="C604" s="913"/>
      <c r="D604" s="247" t="s">
        <v>6</v>
      </c>
      <c r="E604" s="348"/>
      <c r="F604" s="74"/>
      <c r="G604" s="249" t="s">
        <v>975</v>
      </c>
      <c r="H604" s="250"/>
      <c r="I604" s="251"/>
      <c r="J604" s="10"/>
      <c r="K604" s="10"/>
      <c r="L604" s="10"/>
      <c r="M604" s="9"/>
      <c r="N604" s="899"/>
      <c r="O604" s="900"/>
      <c r="P604" s="901"/>
      <c r="Q604" s="874"/>
      <c r="R604" s="874"/>
      <c r="S604" s="841"/>
      <c r="T604" s="854"/>
    </row>
    <row r="605" spans="1:20" s="318" customFormat="1">
      <c r="A605" s="915"/>
      <c r="B605" s="919"/>
      <c r="C605" s="913"/>
      <c r="D605" s="49" t="s">
        <v>311</v>
      </c>
      <c r="E605" s="348"/>
      <c r="F605" s="74"/>
      <c r="G605" s="130" t="s">
        <v>974</v>
      </c>
      <c r="H605" s="240"/>
      <c r="I605" s="192"/>
      <c r="J605" s="10"/>
      <c r="K605" s="10"/>
      <c r="L605" s="10"/>
      <c r="M605" s="9"/>
      <c r="N605" s="899"/>
      <c r="O605" s="900"/>
      <c r="P605" s="901"/>
      <c r="Q605" s="874"/>
      <c r="R605" s="874"/>
      <c r="S605" s="841"/>
      <c r="T605" s="854"/>
    </row>
    <row r="606" spans="1:20" s="344" customFormat="1" ht="25.5">
      <c r="A606" s="915"/>
      <c r="B606" s="919"/>
      <c r="C606" s="913"/>
      <c r="D606" s="49" t="s">
        <v>310</v>
      </c>
      <c r="E606" s="805">
        <f>'[3]Plan Tron'!B301</f>
        <v>13415</v>
      </c>
      <c r="F606" s="805" t="str">
        <f>'[3]Plan Tron'!C301</f>
        <v>SINAPI (INSUMO)</v>
      </c>
      <c r="G606" s="643" t="str">
        <f>'[3]Plan Tron'!D301</f>
        <v>TORNEIRA CROMADA DE MESA PARA LAVATORIO, PADRAO POPULAR, 1/2 " OU 3/4 " (REF 1193)</v>
      </c>
      <c r="H606" s="805" t="str">
        <f>'[3]Plan Tron'!E301</f>
        <v>UN</v>
      </c>
      <c r="I606" s="192">
        <f>7+3</f>
        <v>10</v>
      </c>
      <c r="J606" s="10">
        <v>27.13</v>
      </c>
      <c r="K606" s="10">
        <f>'[3]Plan Tron'!F301</f>
        <v>39.950000000000003</v>
      </c>
      <c r="L606" s="10">
        <v>16.8</v>
      </c>
      <c r="M606" s="9">
        <f t="shared" si="43"/>
        <v>46.66</v>
      </c>
      <c r="N606" s="899">
        <v>0</v>
      </c>
      <c r="O606" s="900">
        <f t="shared" si="42"/>
        <v>10</v>
      </c>
      <c r="P606" s="901">
        <f t="shared" si="44"/>
        <v>466.6</v>
      </c>
      <c r="Q606" s="874"/>
      <c r="R606" s="874"/>
      <c r="S606" s="841"/>
      <c r="T606" s="854"/>
    </row>
    <row r="607" spans="1:20" s="344" customFormat="1" ht="25.5">
      <c r="A607" s="915"/>
      <c r="B607" s="919"/>
      <c r="C607" s="913"/>
      <c r="D607" s="49" t="s">
        <v>309</v>
      </c>
      <c r="E607" s="805">
        <f>'[3]Plan Tron'!B302</f>
        <v>10422</v>
      </c>
      <c r="F607" s="805" t="str">
        <f>'[3]Plan Tron'!C302</f>
        <v>SINAPI (INSUMO)</v>
      </c>
      <c r="G607" s="643" t="str">
        <f>'[3]Plan Tron'!D302</f>
        <v xml:space="preserve">BACIA SANITARIA (VASO) COM CAIXA ACOPLADA, DE LOUCA BRANCA </v>
      </c>
      <c r="H607" s="805" t="str">
        <f>'[3]Plan Tron'!E302</f>
        <v>UN</v>
      </c>
      <c r="I607" s="192">
        <f>4+1</f>
        <v>5</v>
      </c>
      <c r="J607" s="10">
        <v>261.39</v>
      </c>
      <c r="K607" s="10">
        <f>'[3]Plan Tron'!F302</f>
        <v>331.95</v>
      </c>
      <c r="L607" s="10">
        <v>16.8</v>
      </c>
      <c r="M607" s="9">
        <f t="shared" si="43"/>
        <v>387.72</v>
      </c>
      <c r="N607" s="899">
        <v>0</v>
      </c>
      <c r="O607" s="900">
        <f t="shared" si="42"/>
        <v>5</v>
      </c>
      <c r="P607" s="901">
        <f t="shared" si="44"/>
        <v>1938.6</v>
      </c>
      <c r="Q607" s="874"/>
      <c r="R607" s="874"/>
      <c r="S607" s="841"/>
      <c r="T607" s="854"/>
    </row>
    <row r="608" spans="1:20" s="344" customFormat="1" ht="25.5">
      <c r="A608" s="915"/>
      <c r="B608" s="919"/>
      <c r="C608" s="913"/>
      <c r="D608" s="49" t="s">
        <v>973</v>
      </c>
      <c r="E608" s="805">
        <f>'[3]Plan Tron'!B303</f>
        <v>1368</v>
      </c>
      <c r="F608" s="805" t="str">
        <f>'[3]Plan Tron'!C303</f>
        <v>SINAPI (INSUMO)</v>
      </c>
      <c r="G608" s="643" t="str">
        <f>'[3]Plan Tron'!D303</f>
        <v>CHUVEIRO COMUM EM PLASTICO BRANCO, COM CANO, 3 TEMPERATURAS, 5500 W (110/220V)</v>
      </c>
      <c r="H608" s="805" t="str">
        <f>'[3]Plan Tron'!E303</f>
        <v>UN</v>
      </c>
      <c r="I608" s="192">
        <v>1</v>
      </c>
      <c r="J608" s="10">
        <v>36.5</v>
      </c>
      <c r="K608" s="10">
        <f>'[3]Plan Tron'!F303</f>
        <v>46.9</v>
      </c>
      <c r="L608" s="10">
        <v>16.8</v>
      </c>
      <c r="M608" s="9">
        <f t="shared" si="43"/>
        <v>54.78</v>
      </c>
      <c r="N608" s="899">
        <v>0</v>
      </c>
      <c r="O608" s="900">
        <f t="shared" si="42"/>
        <v>1</v>
      </c>
      <c r="P608" s="901">
        <f t="shared" si="44"/>
        <v>54.78</v>
      </c>
      <c r="Q608" s="874"/>
      <c r="R608" s="874"/>
      <c r="S608" s="841"/>
      <c r="T608" s="854"/>
    </row>
    <row r="609" spans="1:20" s="318" customFormat="1">
      <c r="A609" s="915"/>
      <c r="B609" s="919"/>
      <c r="C609" s="913"/>
      <c r="D609" s="49" t="s">
        <v>710</v>
      </c>
      <c r="E609" s="348"/>
      <c r="F609" s="74"/>
      <c r="G609" s="130" t="s">
        <v>972</v>
      </c>
      <c r="H609" s="240"/>
      <c r="I609" s="192"/>
      <c r="J609" s="10"/>
      <c r="K609" s="10"/>
      <c r="L609" s="10"/>
      <c r="M609" s="9"/>
      <c r="N609" s="899"/>
      <c r="O609" s="900"/>
      <c r="P609" s="901"/>
      <c r="Q609" s="874"/>
      <c r="R609" s="874"/>
      <c r="S609" s="841"/>
      <c r="T609" s="854"/>
    </row>
    <row r="610" spans="1:20" s="344" customFormat="1" ht="25.5">
      <c r="A610" s="915"/>
      <c r="B610" s="919"/>
      <c r="C610" s="913"/>
      <c r="D610" s="49" t="s">
        <v>944</v>
      </c>
      <c r="E610" s="805">
        <f>'[3]Plan Tron'!B304</f>
        <v>6005</v>
      </c>
      <c r="F610" s="805" t="str">
        <f>'[3]Plan Tron'!C304</f>
        <v>SINAPI (INSUMO)</v>
      </c>
      <c r="G610" s="643" t="str">
        <f>'[3]Plan Tron'!D304</f>
        <v>REGISTRO GAVETA COM ACABAMENTO E CANOPLA CROMADOS, SIMPLES, BITOLA 3/4 " (REF 1509)</v>
      </c>
      <c r="H610" s="805" t="str">
        <f>'[3]Plan Tron'!E304</f>
        <v>UN</v>
      </c>
      <c r="I610" s="192">
        <f>4+1</f>
        <v>5</v>
      </c>
      <c r="J610" s="10">
        <v>49.2</v>
      </c>
      <c r="K610" s="10">
        <f>'[3]Plan Tron'!F304</f>
        <v>49.2</v>
      </c>
      <c r="L610" s="10">
        <v>16.8</v>
      </c>
      <c r="M610" s="9">
        <f t="shared" si="43"/>
        <v>57.47</v>
      </c>
      <c r="N610" s="899">
        <v>0</v>
      </c>
      <c r="O610" s="900">
        <f t="shared" si="42"/>
        <v>5</v>
      </c>
      <c r="P610" s="901">
        <f t="shared" si="44"/>
        <v>287.35000000000002</v>
      </c>
      <c r="Q610" s="874"/>
      <c r="R610" s="874"/>
      <c r="S610" s="841"/>
      <c r="T610" s="854"/>
    </row>
    <row r="611" spans="1:20" s="318" customFormat="1">
      <c r="A611" s="915"/>
      <c r="B611" s="919"/>
      <c r="C611" s="913"/>
      <c r="D611" s="49" t="s">
        <v>971</v>
      </c>
      <c r="E611" s="348"/>
      <c r="F611" s="74"/>
      <c r="G611" s="130" t="s">
        <v>970</v>
      </c>
      <c r="H611" s="240"/>
      <c r="I611" s="192"/>
      <c r="J611" s="10"/>
      <c r="K611" s="10"/>
      <c r="L611" s="10"/>
      <c r="M611" s="9"/>
      <c r="N611" s="899"/>
      <c r="O611" s="900"/>
      <c r="P611" s="901"/>
      <c r="Q611" s="874"/>
      <c r="R611" s="874"/>
      <c r="S611" s="841"/>
      <c r="T611" s="854"/>
    </row>
    <row r="612" spans="1:20" s="344" customFormat="1" ht="25.5">
      <c r="A612" s="915"/>
      <c r="B612" s="919"/>
      <c r="C612" s="913"/>
      <c r="D612" s="49" t="s">
        <v>969</v>
      </c>
      <c r="E612" s="805">
        <f>'[3]Plan Tron'!B305</f>
        <v>9868</v>
      </c>
      <c r="F612" s="805" t="str">
        <f>'[3]Plan Tron'!C305</f>
        <v>SINAPI (INSUMO)</v>
      </c>
      <c r="G612" s="643" t="str">
        <f>'[3]Plan Tron'!D305</f>
        <v>TUBO PVC, SOLDAVEL, DN 25 MM, AGUA FRIA (NBR-5648)</v>
      </c>
      <c r="H612" s="805" t="str">
        <f>'[3]Plan Tron'!E305</f>
        <v>M</v>
      </c>
      <c r="I612" s="192">
        <f>15.33+36.11</f>
        <v>51.44</v>
      </c>
      <c r="J612" s="10">
        <v>2.57</v>
      </c>
      <c r="K612" s="10">
        <f>'[3]Plan Tron'!F305</f>
        <v>2.71</v>
      </c>
      <c r="L612" s="10">
        <v>16.8</v>
      </c>
      <c r="M612" s="9">
        <f t="shared" si="43"/>
        <v>3.17</v>
      </c>
      <c r="N612" s="899">
        <v>0</v>
      </c>
      <c r="O612" s="900">
        <f t="shared" ref="O612:O673" si="45">I612-N612</f>
        <v>51.44</v>
      </c>
      <c r="P612" s="901">
        <f t="shared" si="44"/>
        <v>163.06</v>
      </c>
      <c r="Q612" s="874"/>
      <c r="R612" s="874"/>
      <c r="S612" s="841"/>
      <c r="T612" s="854"/>
    </row>
    <row r="613" spans="1:20" s="344" customFormat="1" ht="25.5">
      <c r="A613" s="915"/>
      <c r="B613" s="919"/>
      <c r="C613" s="913"/>
      <c r="D613" s="49" t="s">
        <v>968</v>
      </c>
      <c r="E613" s="805">
        <f>'[3]Plan Tron'!B306</f>
        <v>9874</v>
      </c>
      <c r="F613" s="805" t="str">
        <f>'[3]Plan Tron'!C306</f>
        <v>SINAPI (INSUMO)</v>
      </c>
      <c r="G613" s="643" t="str">
        <f>'[3]Plan Tron'!D306</f>
        <v xml:space="preserve">TUBO PVC, SOLDAVEL, DN 40 MM, AGUA FRIA (NBR-5648) </v>
      </c>
      <c r="H613" s="805" t="str">
        <f>'[3]Plan Tron'!E306</f>
        <v>M</v>
      </c>
      <c r="I613" s="192">
        <v>3.28</v>
      </c>
      <c r="J613" s="10">
        <v>7.98</v>
      </c>
      <c r="K613" s="10">
        <f>'[3]Plan Tron'!F306</f>
        <v>8.4700000000000006</v>
      </c>
      <c r="L613" s="10">
        <v>16.8</v>
      </c>
      <c r="M613" s="9">
        <f t="shared" si="43"/>
        <v>9.89</v>
      </c>
      <c r="N613" s="899">
        <v>0</v>
      </c>
      <c r="O613" s="900">
        <f t="shared" si="45"/>
        <v>3.28</v>
      </c>
      <c r="P613" s="901">
        <f t="shared" si="44"/>
        <v>32.44</v>
      </c>
      <c r="Q613" s="874"/>
      <c r="R613" s="874"/>
      <c r="S613" s="841"/>
      <c r="T613" s="854"/>
    </row>
    <row r="614" spans="1:20" s="344" customFormat="1" ht="25.5">
      <c r="A614" s="915"/>
      <c r="B614" s="919"/>
      <c r="C614" s="913"/>
      <c r="D614" s="49" t="s">
        <v>967</v>
      </c>
      <c r="E614" s="805">
        <f>'[3]Plan Tron'!B307</f>
        <v>9875</v>
      </c>
      <c r="F614" s="805" t="str">
        <f>'[3]Plan Tron'!C307</f>
        <v>SINAPI (INSUMO)</v>
      </c>
      <c r="G614" s="643" t="str">
        <f>'[3]Plan Tron'!D307</f>
        <v xml:space="preserve">TUBO PVC, SOLDAVEL, DN 50 MM, PARA AGUA FRIA (NBR-5648) </v>
      </c>
      <c r="H614" s="805" t="str">
        <f>'[3]Plan Tron'!E307</f>
        <v>M</v>
      </c>
      <c r="I614" s="192">
        <v>39.020000000000003</v>
      </c>
      <c r="J614" s="10">
        <v>9.36</v>
      </c>
      <c r="K614" s="10">
        <f>'[3]Plan Tron'!F307</f>
        <v>10.51</v>
      </c>
      <c r="L614" s="10">
        <v>16.8</v>
      </c>
      <c r="M614" s="9">
        <f t="shared" si="43"/>
        <v>12.28</v>
      </c>
      <c r="N614" s="899">
        <v>0</v>
      </c>
      <c r="O614" s="900">
        <f t="shared" si="45"/>
        <v>39.020000000000003</v>
      </c>
      <c r="P614" s="901">
        <f t="shared" si="44"/>
        <v>479.17</v>
      </c>
      <c r="Q614" s="874"/>
      <c r="R614" s="874"/>
      <c r="S614" s="841"/>
      <c r="T614" s="854"/>
    </row>
    <row r="615" spans="1:20" s="318" customFormat="1">
      <c r="A615" s="915"/>
      <c r="B615" s="919"/>
      <c r="C615" s="913"/>
      <c r="D615" s="49" t="s">
        <v>966</v>
      </c>
      <c r="E615" s="348"/>
      <c r="F615" s="74"/>
      <c r="G615" s="130" t="s">
        <v>700</v>
      </c>
      <c r="H615" s="240"/>
      <c r="I615" s="192"/>
      <c r="J615" s="10"/>
      <c r="K615" s="10"/>
      <c r="L615" s="10"/>
      <c r="M615" s="9"/>
      <c r="N615" s="899"/>
      <c r="O615" s="900"/>
      <c r="P615" s="901"/>
      <c r="Q615" s="874"/>
      <c r="R615" s="874"/>
      <c r="S615" s="841"/>
      <c r="T615" s="854"/>
    </row>
    <row r="616" spans="1:20" s="344" customFormat="1" ht="25.5">
      <c r="A616" s="915"/>
      <c r="B616" s="919"/>
      <c r="C616" s="913"/>
      <c r="D616" s="49" t="s">
        <v>965</v>
      </c>
      <c r="E616" s="805">
        <f>'[3]Plan Tron'!B308</f>
        <v>6140</v>
      </c>
      <c r="F616" s="805" t="str">
        <f>'[3]Plan Tron'!C308</f>
        <v>SINAPI (INSUMO)</v>
      </c>
      <c r="G616" s="643" t="str">
        <f>'[3]Plan Tron'!D308</f>
        <v xml:space="preserve">BOLSA DE LIGACAO EM PVC FLEXIVEL PARA VASO SANITARIO 1.1/2 " (40 MM) </v>
      </c>
      <c r="H616" s="805" t="str">
        <f>'[3]Plan Tron'!E308</f>
        <v>UN</v>
      </c>
      <c r="I616" s="192">
        <f>1+4</f>
        <v>5</v>
      </c>
      <c r="J616" s="10">
        <v>1.81</v>
      </c>
      <c r="K616" s="10">
        <f>'[3]Plan Tron'!F308</f>
        <v>2.46</v>
      </c>
      <c r="L616" s="10">
        <v>16.8</v>
      </c>
      <c r="M616" s="9">
        <f t="shared" si="43"/>
        <v>2.87</v>
      </c>
      <c r="N616" s="899">
        <v>0</v>
      </c>
      <c r="O616" s="900">
        <f t="shared" si="45"/>
        <v>5</v>
      </c>
      <c r="P616" s="901">
        <f t="shared" si="44"/>
        <v>14.35</v>
      </c>
      <c r="Q616" s="874"/>
      <c r="R616" s="874"/>
      <c r="S616" s="841"/>
      <c r="T616" s="854"/>
    </row>
    <row r="617" spans="1:20" s="344" customFormat="1" ht="25.5">
      <c r="A617" s="915"/>
      <c r="B617" s="919"/>
      <c r="C617" s="913"/>
      <c r="D617" s="49" t="s">
        <v>964</v>
      </c>
      <c r="E617" s="805">
        <f>'[3]Plan Tron'!B309</f>
        <v>11683</v>
      </c>
      <c r="F617" s="805" t="str">
        <f>'[3]Plan Tron'!C309</f>
        <v>SINAPI (INSUMO)</v>
      </c>
      <c r="G617" s="643" t="str">
        <f>'[3]Plan Tron'!D309</f>
        <v xml:space="preserve">ENGATE / RABICHO FLEXIVEL INOX 1/2 " X 30 CM </v>
      </c>
      <c r="H617" s="805" t="str">
        <f>'[3]Plan Tron'!E309</f>
        <v>UN</v>
      </c>
      <c r="I617" s="192">
        <f>4+1</f>
        <v>5</v>
      </c>
      <c r="J617" s="10">
        <v>18.190000000000001</v>
      </c>
      <c r="K617" s="10">
        <f>'[3]Plan Tron'!F309</f>
        <v>21.76</v>
      </c>
      <c r="L617" s="10">
        <v>16.8</v>
      </c>
      <c r="M617" s="9">
        <f t="shared" si="43"/>
        <v>25.42</v>
      </c>
      <c r="N617" s="899">
        <v>0</v>
      </c>
      <c r="O617" s="900">
        <f t="shared" si="45"/>
        <v>5</v>
      </c>
      <c r="P617" s="901">
        <f t="shared" si="44"/>
        <v>127.1</v>
      </c>
      <c r="Q617" s="874"/>
      <c r="R617" s="874"/>
      <c r="S617" s="841"/>
      <c r="T617" s="854"/>
    </row>
    <row r="618" spans="1:20" s="344" customFormat="1" ht="25.5">
      <c r="A618" s="915"/>
      <c r="B618" s="919"/>
      <c r="C618" s="913"/>
      <c r="D618" s="49" t="s">
        <v>963</v>
      </c>
      <c r="E618" s="805">
        <f>'[3]Plan Tron'!B310</f>
        <v>6141</v>
      </c>
      <c r="F618" s="805" t="str">
        <f>'[3]Plan Tron'!C310</f>
        <v>SINAPI (INSUMO)</v>
      </c>
      <c r="G618" s="643" t="str">
        <f>'[3]Plan Tron'!D310</f>
        <v xml:space="preserve">ENGATE/RABICHO FLEXIVEL PLASTICO (PVC OU ABS) BRANCO 1/2 " X 30 CM </v>
      </c>
      <c r="H618" s="805" t="str">
        <f>'[3]Plan Tron'!E310</f>
        <v>UN</v>
      </c>
      <c r="I618" s="192">
        <f>7+3</f>
        <v>10</v>
      </c>
      <c r="J618" s="10">
        <v>2.36</v>
      </c>
      <c r="K618" s="10">
        <f>'[3]Plan Tron'!F310</f>
        <v>2.88</v>
      </c>
      <c r="L618" s="10">
        <v>16.8</v>
      </c>
      <c r="M618" s="9">
        <f t="shared" si="43"/>
        <v>3.36</v>
      </c>
      <c r="N618" s="899">
        <v>0</v>
      </c>
      <c r="O618" s="900">
        <f t="shared" si="45"/>
        <v>10</v>
      </c>
      <c r="P618" s="901">
        <f t="shared" si="44"/>
        <v>33.6</v>
      </c>
      <c r="Q618" s="874"/>
      <c r="R618" s="874"/>
      <c r="S618" s="841"/>
      <c r="T618" s="854"/>
    </row>
    <row r="619" spans="1:20" s="344" customFormat="1" ht="25.5">
      <c r="A619" s="915"/>
      <c r="B619" s="919"/>
      <c r="C619" s="913"/>
      <c r="D619" s="49" t="s">
        <v>962</v>
      </c>
      <c r="E619" s="805">
        <f>'[3]Plan Tron'!B311</f>
        <v>3531</v>
      </c>
      <c r="F619" s="805" t="str">
        <f>'[3]Plan Tron'!C311</f>
        <v>SINAPI (INSUMO)</v>
      </c>
      <c r="G619" s="643" t="str">
        <f>'[3]Plan Tron'!D311</f>
        <v xml:space="preserve">JOELHO PVC, SOLDAVEL COM ROSCA, 90 GRAUS, 25 MM X 1/2", PARA AGUA FRIA PREDIAL </v>
      </c>
      <c r="H619" s="805" t="str">
        <f>'[3]Plan Tron'!E311</f>
        <v>UN</v>
      </c>
      <c r="I619" s="192">
        <f>4+1</f>
        <v>5</v>
      </c>
      <c r="J619" s="10">
        <v>1.4</v>
      </c>
      <c r="K619" s="10">
        <f>'[3]Plan Tron'!F311</f>
        <v>1.56</v>
      </c>
      <c r="L619" s="10">
        <v>16.8</v>
      </c>
      <c r="M619" s="9">
        <f t="shared" si="43"/>
        <v>1.82</v>
      </c>
      <c r="N619" s="899">
        <v>0</v>
      </c>
      <c r="O619" s="900">
        <f t="shared" si="45"/>
        <v>5</v>
      </c>
      <c r="P619" s="901">
        <f t="shared" si="44"/>
        <v>9.1</v>
      </c>
      <c r="Q619" s="874"/>
      <c r="R619" s="874"/>
      <c r="S619" s="841"/>
      <c r="T619" s="854"/>
    </row>
    <row r="620" spans="1:20" s="344" customFormat="1" ht="25.5">
      <c r="A620" s="915"/>
      <c r="B620" s="919"/>
      <c r="C620" s="913"/>
      <c r="D620" s="49" t="s">
        <v>961</v>
      </c>
      <c r="E620" s="805">
        <f>'[3]Plan Tron'!B312</f>
        <v>65</v>
      </c>
      <c r="F620" s="805" t="str">
        <f>'[3]Plan Tron'!C312</f>
        <v>SINAPI (INSUMO)</v>
      </c>
      <c r="G620" s="643" t="str">
        <f>'[3]Plan Tron'!D312</f>
        <v>ADAPTADOR PVC SOLDAVEL CURTO COM BOLSA E ROSCA, 25 MM X 3/4", PARA AGUA FRIA</v>
      </c>
      <c r="H620" s="805" t="str">
        <f>'[3]Plan Tron'!E312</f>
        <v>UN</v>
      </c>
      <c r="I620" s="192">
        <f>8+2</f>
        <v>10</v>
      </c>
      <c r="J620" s="10">
        <v>0.6</v>
      </c>
      <c r="K620" s="10">
        <f>'[3]Plan Tron'!F312</f>
        <v>0.69</v>
      </c>
      <c r="L620" s="10">
        <v>16.8</v>
      </c>
      <c r="M620" s="9">
        <f t="shared" si="43"/>
        <v>0.81</v>
      </c>
      <c r="N620" s="899">
        <v>0</v>
      </c>
      <c r="O620" s="900">
        <f t="shared" si="45"/>
        <v>10</v>
      </c>
      <c r="P620" s="901">
        <f t="shared" si="44"/>
        <v>8.1</v>
      </c>
      <c r="Q620" s="874"/>
      <c r="R620" s="874"/>
      <c r="S620" s="841"/>
      <c r="T620" s="854"/>
    </row>
    <row r="621" spans="1:20" s="344" customFormat="1" ht="25.5">
      <c r="A621" s="915"/>
      <c r="B621" s="919"/>
      <c r="C621" s="913"/>
      <c r="D621" s="49" t="s">
        <v>960</v>
      </c>
      <c r="E621" s="805">
        <f>'[3]Plan Tron'!B313</f>
        <v>3529</v>
      </c>
      <c r="F621" s="805" t="str">
        <f>'[3]Plan Tron'!C313</f>
        <v>SINAPI (INSUMO)</v>
      </c>
      <c r="G621" s="643" t="str">
        <f>'[3]Plan Tron'!D313</f>
        <v xml:space="preserve">JOELHO PVC, SOLDAVEL, 90 GRAUS, 25 MM, PARA AGUA FRIA PREDIAL </v>
      </c>
      <c r="H621" s="805" t="str">
        <f>'[3]Plan Tron'!E313</f>
        <v>UN</v>
      </c>
      <c r="I621" s="192">
        <v>18</v>
      </c>
      <c r="J621" s="10">
        <v>0.5</v>
      </c>
      <c r="K621" s="10">
        <f>'[3]Plan Tron'!F313</f>
        <v>0.65</v>
      </c>
      <c r="L621" s="10">
        <v>16.8</v>
      </c>
      <c r="M621" s="9">
        <f t="shared" si="43"/>
        <v>0.76</v>
      </c>
      <c r="N621" s="899">
        <v>0</v>
      </c>
      <c r="O621" s="900">
        <f t="shared" si="45"/>
        <v>18</v>
      </c>
      <c r="P621" s="901">
        <f t="shared" si="44"/>
        <v>13.68</v>
      </c>
      <c r="Q621" s="874"/>
      <c r="R621" s="874"/>
      <c r="S621" s="841"/>
      <c r="T621" s="854"/>
    </row>
    <row r="622" spans="1:20" s="344" customFormat="1" ht="25.5">
      <c r="A622" s="915"/>
      <c r="B622" s="919"/>
      <c r="C622" s="913"/>
      <c r="D622" s="49" t="s">
        <v>959</v>
      </c>
      <c r="E622" s="805">
        <f>'[3]Plan Tron'!B314</f>
        <v>7139</v>
      </c>
      <c r="F622" s="805" t="str">
        <f>'[3]Plan Tron'!C314</f>
        <v>SINAPI (INSUMO)</v>
      </c>
      <c r="G622" s="643" t="str">
        <f>'[3]Plan Tron'!D314</f>
        <v xml:space="preserve">TE SOLDAVEL, PVC, 90 GRAUS, 25 MM, PARA AGUA FRIA PREDIAL (NBR 5648) </v>
      </c>
      <c r="H622" s="805" t="str">
        <f>'[3]Plan Tron'!E314</f>
        <v>UN</v>
      </c>
      <c r="I622" s="192">
        <f>7+4</f>
        <v>11</v>
      </c>
      <c r="J622" s="10">
        <v>0.78</v>
      </c>
      <c r="K622" s="10">
        <f>'[3]Plan Tron'!F314</f>
        <v>1.1000000000000001</v>
      </c>
      <c r="L622" s="10">
        <v>16.8</v>
      </c>
      <c r="M622" s="9">
        <f t="shared" si="43"/>
        <v>1.28</v>
      </c>
      <c r="N622" s="899">
        <v>0</v>
      </c>
      <c r="O622" s="900">
        <f t="shared" si="45"/>
        <v>11</v>
      </c>
      <c r="P622" s="901">
        <f t="shared" si="44"/>
        <v>14.08</v>
      </c>
      <c r="Q622" s="874"/>
      <c r="R622" s="874"/>
      <c r="S622" s="841"/>
      <c r="T622" s="854"/>
    </row>
    <row r="623" spans="1:20" s="344" customFormat="1" ht="25.5">
      <c r="A623" s="915"/>
      <c r="B623" s="919"/>
      <c r="C623" s="913"/>
      <c r="D623" s="49" t="s">
        <v>958</v>
      </c>
      <c r="E623" s="805">
        <f>'[3]Plan Tron'!B315</f>
        <v>20147</v>
      </c>
      <c r="F623" s="805" t="str">
        <f>'[3]Plan Tron'!C315</f>
        <v>SINAPI (INSUMO)</v>
      </c>
      <c r="G623" s="643" t="str">
        <f>'[3]Plan Tron'!D315</f>
        <v>JOELHO PVC, SOLDAVEL, COM BUCHA DE LATAO, 90 GRAUS, 25 MM X 1/2", PARA AGUA FRIA PREDIAL</v>
      </c>
      <c r="H623" s="805" t="str">
        <f>'[3]Plan Tron'!E315</f>
        <v>UN</v>
      </c>
      <c r="I623" s="192">
        <f>4+7</f>
        <v>11</v>
      </c>
      <c r="J623" s="10">
        <v>4.3</v>
      </c>
      <c r="K623" s="10">
        <f>'[3]Plan Tron'!F315</f>
        <v>5.04</v>
      </c>
      <c r="L623" s="10">
        <v>16.8</v>
      </c>
      <c r="M623" s="9">
        <f t="shared" si="43"/>
        <v>5.89</v>
      </c>
      <c r="N623" s="899">
        <v>0</v>
      </c>
      <c r="O623" s="900">
        <f t="shared" si="45"/>
        <v>11</v>
      </c>
      <c r="P623" s="901">
        <f t="shared" si="44"/>
        <v>64.790000000000006</v>
      </c>
      <c r="Q623" s="874"/>
      <c r="R623" s="874"/>
      <c r="S623" s="841"/>
      <c r="T623" s="854"/>
    </row>
    <row r="624" spans="1:20" s="344" customFormat="1" ht="25.5">
      <c r="A624" s="915"/>
      <c r="B624" s="919"/>
      <c r="C624" s="913"/>
      <c r="D624" s="49" t="s">
        <v>957</v>
      </c>
      <c r="E624" s="805">
        <f>'[3]Plan Tron'!B316</f>
        <v>819</v>
      </c>
      <c r="F624" s="805" t="str">
        <f>'[3]Plan Tron'!C316</f>
        <v>SINAPI (INSUMO)</v>
      </c>
      <c r="G624" s="643" t="str">
        <f>'[3]Plan Tron'!D316</f>
        <v>BUCHA DE REDUCAO DE PVC, SOLDAVEL, CURTA, COM 50 X 40 MM, PARA AGUA FRIA PREDIAL</v>
      </c>
      <c r="H624" s="805" t="str">
        <f>'[3]Plan Tron'!E316</f>
        <v>UN</v>
      </c>
      <c r="I624" s="192">
        <v>1</v>
      </c>
      <c r="J624" s="10">
        <v>1.64</v>
      </c>
      <c r="K624" s="10">
        <f>'[3]Plan Tron'!F316</f>
        <v>2.4900000000000002</v>
      </c>
      <c r="L624" s="10">
        <v>16.8</v>
      </c>
      <c r="M624" s="9">
        <f t="shared" si="43"/>
        <v>2.91</v>
      </c>
      <c r="N624" s="899">
        <v>0</v>
      </c>
      <c r="O624" s="900">
        <f t="shared" si="45"/>
        <v>1</v>
      </c>
      <c r="P624" s="901">
        <f t="shared" si="44"/>
        <v>2.91</v>
      </c>
      <c r="Q624" s="874"/>
      <c r="R624" s="874"/>
      <c r="S624" s="841"/>
      <c r="T624" s="854"/>
    </row>
    <row r="625" spans="1:20" s="344" customFormat="1" ht="25.5">
      <c r="A625" s="915"/>
      <c r="B625" s="919"/>
      <c r="C625" s="913"/>
      <c r="D625" s="49" t="s">
        <v>956</v>
      </c>
      <c r="E625" s="805">
        <f>'[3]Plan Tron'!B317</f>
        <v>834</v>
      </c>
      <c r="F625" s="805" t="str">
        <f>'[3]Plan Tron'!C317</f>
        <v>SINAPI (INSUMO)</v>
      </c>
      <c r="G625" s="643" t="str">
        <f>'[3]Plan Tron'!D317</f>
        <v>BUCHA DE REDUCAO DE PVC, SOLDAVEL, LONGA, COM 40 X 25 MM, PARA AGUA FRIA PREDIAL</v>
      </c>
      <c r="H625" s="805" t="str">
        <f>'[3]Plan Tron'!E317</f>
        <v>UN</v>
      </c>
      <c r="I625" s="192">
        <v>2</v>
      </c>
      <c r="J625" s="10">
        <v>1.94</v>
      </c>
      <c r="K625" s="10">
        <f>'[3]Plan Tron'!F317</f>
        <v>2.41</v>
      </c>
      <c r="L625" s="10">
        <v>16.8</v>
      </c>
      <c r="M625" s="9">
        <f t="shared" si="43"/>
        <v>2.81</v>
      </c>
      <c r="N625" s="899">
        <v>0</v>
      </c>
      <c r="O625" s="900">
        <f t="shared" si="45"/>
        <v>2</v>
      </c>
      <c r="P625" s="901">
        <f t="shared" si="44"/>
        <v>5.62</v>
      </c>
      <c r="Q625" s="874"/>
      <c r="R625" s="874"/>
      <c r="S625" s="841"/>
      <c r="T625" s="854"/>
    </row>
    <row r="626" spans="1:20" s="344" customFormat="1" ht="25.5">
      <c r="A626" s="915"/>
      <c r="B626" s="919"/>
      <c r="C626" s="913"/>
      <c r="D626" s="49" t="s">
        <v>955</v>
      </c>
      <c r="E626" s="805">
        <f>'[3]Plan Tron'!B318</f>
        <v>813</v>
      </c>
      <c r="F626" s="805" t="str">
        <f>'[3]Plan Tron'!C318</f>
        <v>SINAPI (INSUMO)</v>
      </c>
      <c r="G626" s="643" t="str">
        <f>'[3]Plan Tron'!D318</f>
        <v>BUCHA DE REDUCAO DE PVC, SOLDAVEL, LONGA, COM 50 X 25 MM, PARA AGUA FRIA PREDIAL</v>
      </c>
      <c r="H626" s="805" t="str">
        <f>'[3]Plan Tron'!E318</f>
        <v>UN</v>
      </c>
      <c r="I626" s="192">
        <v>1</v>
      </c>
      <c r="J626" s="10">
        <v>1.64</v>
      </c>
      <c r="K626" s="10">
        <f>'[3]Plan Tron'!F318</f>
        <v>3.16</v>
      </c>
      <c r="L626" s="10">
        <v>16.8</v>
      </c>
      <c r="M626" s="9">
        <f t="shared" si="43"/>
        <v>3.69</v>
      </c>
      <c r="N626" s="899">
        <v>0</v>
      </c>
      <c r="O626" s="900">
        <f t="shared" si="45"/>
        <v>1</v>
      </c>
      <c r="P626" s="901">
        <f t="shared" si="44"/>
        <v>3.69</v>
      </c>
      <c r="Q626" s="874"/>
      <c r="R626" s="874"/>
      <c r="S626" s="841"/>
      <c r="T626" s="854"/>
    </row>
    <row r="627" spans="1:20" s="344" customFormat="1" ht="25.5">
      <c r="A627" s="915"/>
      <c r="B627" s="919"/>
      <c r="C627" s="913"/>
      <c r="D627" s="49" t="s">
        <v>954</v>
      </c>
      <c r="E627" s="805">
        <f>'[3]Plan Tron'!B319</f>
        <v>1194</v>
      </c>
      <c r="F627" s="805" t="str">
        <f>'[3]Plan Tron'!C319</f>
        <v>SINAPI (INSUMO)</v>
      </c>
      <c r="G627" s="643" t="str">
        <f>'[3]Plan Tron'!D319</f>
        <v>CAP PVC, SOLDAVEL, 50 MM, PARA AGUA FRIA PREDIAL</v>
      </c>
      <c r="H627" s="805" t="str">
        <f>'[3]Plan Tron'!E319</f>
        <v>UN</v>
      </c>
      <c r="I627" s="192">
        <v>2</v>
      </c>
      <c r="J627" s="10">
        <v>2.5099999999999998</v>
      </c>
      <c r="K627" s="10">
        <f>'[3]Plan Tron'!F319</f>
        <v>5.47</v>
      </c>
      <c r="L627" s="10">
        <v>16.8</v>
      </c>
      <c r="M627" s="9">
        <f t="shared" si="43"/>
        <v>6.39</v>
      </c>
      <c r="N627" s="899">
        <v>0</v>
      </c>
      <c r="O627" s="900">
        <f t="shared" si="45"/>
        <v>2</v>
      </c>
      <c r="P627" s="901">
        <f t="shared" si="44"/>
        <v>12.78</v>
      </c>
      <c r="Q627" s="874"/>
      <c r="R627" s="874"/>
      <c r="S627" s="841"/>
      <c r="T627" s="854"/>
    </row>
    <row r="628" spans="1:20" s="344" customFormat="1" ht="25.5">
      <c r="A628" s="915"/>
      <c r="B628" s="919"/>
      <c r="C628" s="913"/>
      <c r="D628" s="49" t="s">
        <v>953</v>
      </c>
      <c r="E628" s="805">
        <f>'[3]Plan Tron'!B320</f>
        <v>3500</v>
      </c>
      <c r="F628" s="805" t="str">
        <f>'[3]Plan Tron'!C320</f>
        <v>SINAPI (INSUMO)</v>
      </c>
      <c r="G628" s="643" t="str">
        <f>'[3]Plan Tron'!D320</f>
        <v xml:space="preserve">JOELHO, PVC SOLDAVEL, 45 GRAUS, 25 MM, PARA AGUA FRIA PREDIAL </v>
      </c>
      <c r="H628" s="805" t="str">
        <f>'[3]Plan Tron'!E320</f>
        <v>UN</v>
      </c>
      <c r="I628" s="192">
        <v>13</v>
      </c>
      <c r="J628" s="10">
        <v>1.05</v>
      </c>
      <c r="K628" s="10">
        <f>'[3]Plan Tron'!F320</f>
        <v>1.17</v>
      </c>
      <c r="L628" s="10">
        <v>16.8</v>
      </c>
      <c r="M628" s="9">
        <f t="shared" si="43"/>
        <v>1.37</v>
      </c>
      <c r="N628" s="899">
        <v>0</v>
      </c>
      <c r="O628" s="900">
        <f t="shared" si="45"/>
        <v>13</v>
      </c>
      <c r="P628" s="901">
        <f t="shared" si="44"/>
        <v>17.809999999999999</v>
      </c>
      <c r="Q628" s="874"/>
      <c r="R628" s="874"/>
      <c r="S628" s="841"/>
      <c r="T628" s="854"/>
    </row>
    <row r="629" spans="1:20" s="344" customFormat="1" ht="25.5">
      <c r="A629" s="915"/>
      <c r="B629" s="919"/>
      <c r="C629" s="913"/>
      <c r="D629" s="49" t="s">
        <v>952</v>
      </c>
      <c r="E629" s="805">
        <f>'[3]Plan Tron'!B321</f>
        <v>3502</v>
      </c>
      <c r="F629" s="805" t="str">
        <f>'[3]Plan Tron'!C321</f>
        <v>SINAPI (INSUMO)</v>
      </c>
      <c r="G629" s="643" t="str">
        <f>'[3]Plan Tron'!D321</f>
        <v xml:space="preserve">JOELHO, PVC SOLDAVEL, 45 GRAUS, 40 MM, PARA AGUA FRIA PREDIAL </v>
      </c>
      <c r="H629" s="805" t="str">
        <f>'[3]Plan Tron'!E321</f>
        <v>UN</v>
      </c>
      <c r="I629" s="192">
        <v>2</v>
      </c>
      <c r="J629" s="10">
        <v>3.75</v>
      </c>
      <c r="K629" s="10">
        <f>'[3]Plan Tron'!F321</f>
        <v>4.5599999999999996</v>
      </c>
      <c r="L629" s="10">
        <v>16.8</v>
      </c>
      <c r="M629" s="9">
        <f t="shared" si="43"/>
        <v>5.33</v>
      </c>
      <c r="N629" s="899">
        <v>0</v>
      </c>
      <c r="O629" s="900">
        <f t="shared" si="45"/>
        <v>2</v>
      </c>
      <c r="P629" s="901">
        <f t="shared" si="44"/>
        <v>10.66</v>
      </c>
      <c r="Q629" s="874"/>
      <c r="R629" s="874"/>
      <c r="S629" s="841"/>
      <c r="T629" s="854"/>
    </row>
    <row r="630" spans="1:20" s="344" customFormat="1" ht="25.5">
      <c r="A630" s="915"/>
      <c r="B630" s="919"/>
      <c r="C630" s="913"/>
      <c r="D630" s="49" t="s">
        <v>951</v>
      </c>
      <c r="E630" s="805">
        <f>'[3]Plan Tron'!B322</f>
        <v>3503</v>
      </c>
      <c r="F630" s="805" t="str">
        <f>'[3]Plan Tron'!C322</f>
        <v>SINAPI (INSUMO)</v>
      </c>
      <c r="G630" s="643" t="str">
        <f>'[3]Plan Tron'!D322</f>
        <v xml:space="preserve">JOELHO, PVC SOLDAVEL, 45 GRAUS, 50 MM, PARA AGUA FRIA PREDIAL </v>
      </c>
      <c r="H630" s="805" t="str">
        <f>'[3]Plan Tron'!E322</f>
        <v>UN</v>
      </c>
      <c r="I630" s="192">
        <v>5</v>
      </c>
      <c r="J630" s="10">
        <v>4.75</v>
      </c>
      <c r="K630" s="10">
        <f>'[3]Plan Tron'!F322</f>
        <v>5.68</v>
      </c>
      <c r="L630" s="10">
        <v>16.8</v>
      </c>
      <c r="M630" s="9">
        <f t="shared" si="43"/>
        <v>6.63</v>
      </c>
      <c r="N630" s="899">
        <v>0</v>
      </c>
      <c r="O630" s="900">
        <f t="shared" si="45"/>
        <v>5</v>
      </c>
      <c r="P630" s="901">
        <f t="shared" si="44"/>
        <v>33.15</v>
      </c>
      <c r="Q630" s="874"/>
      <c r="R630" s="874"/>
      <c r="S630" s="841"/>
      <c r="T630" s="854"/>
    </row>
    <row r="631" spans="1:20" s="344" customFormat="1" ht="25.5">
      <c r="A631" s="915"/>
      <c r="B631" s="919"/>
      <c r="C631" s="913"/>
      <c r="D631" s="49" t="s">
        <v>950</v>
      </c>
      <c r="E631" s="805">
        <f>'[3]Plan Tron'!B323</f>
        <v>3904</v>
      </c>
      <c r="F631" s="805" t="str">
        <f>'[3]Plan Tron'!C323</f>
        <v>SINAPI (INSUMO)</v>
      </c>
      <c r="G631" s="643" t="str">
        <f>'[3]Plan Tron'!D323</f>
        <v xml:space="preserve">LUVA PVC SOLDAVEL, 25 MM, PARA AGUA FRIA PREDIAL </v>
      </c>
      <c r="H631" s="805" t="str">
        <f>'[3]Plan Tron'!E323</f>
        <v>UN</v>
      </c>
      <c r="I631" s="192">
        <v>3</v>
      </c>
      <c r="J631" s="10">
        <v>0.49</v>
      </c>
      <c r="K631" s="10">
        <f>'[3]Plan Tron'!F323</f>
        <v>0.54</v>
      </c>
      <c r="L631" s="10">
        <v>16.8</v>
      </c>
      <c r="M631" s="9">
        <f t="shared" si="43"/>
        <v>0.63</v>
      </c>
      <c r="N631" s="899">
        <v>0</v>
      </c>
      <c r="O631" s="900">
        <f t="shared" si="45"/>
        <v>3</v>
      </c>
      <c r="P631" s="901">
        <f t="shared" si="44"/>
        <v>1.89</v>
      </c>
      <c r="Q631" s="874"/>
      <c r="R631" s="874"/>
      <c r="S631" s="841"/>
      <c r="T631" s="854"/>
    </row>
    <row r="632" spans="1:20" s="344" customFormat="1" ht="25.5">
      <c r="A632" s="915"/>
      <c r="B632" s="919"/>
      <c r="C632" s="913"/>
      <c r="D632" s="49" t="s">
        <v>949</v>
      </c>
      <c r="E632" s="805">
        <f>'[3]Plan Tron'!B324</f>
        <v>7141</v>
      </c>
      <c r="F632" s="805" t="str">
        <f>'[3]Plan Tron'!C324</f>
        <v>SINAPI (INSUMO)</v>
      </c>
      <c r="G632" s="643" t="str">
        <f>'[3]Plan Tron'!D324</f>
        <v xml:space="preserve">TE SOLDAVEL, PVC, 90 GRAUS, 40 MM, PARA AGUA FRIA PREDIAL (NBR 5648) </v>
      </c>
      <c r="H632" s="805" t="str">
        <f>'[3]Plan Tron'!E324</f>
        <v>UN</v>
      </c>
      <c r="I632" s="192">
        <v>1</v>
      </c>
      <c r="J632" s="10">
        <v>6.02</v>
      </c>
      <c r="K632" s="10">
        <f>'[3]Plan Tron'!F324</f>
        <v>7.07</v>
      </c>
      <c r="L632" s="10">
        <v>16.8</v>
      </c>
      <c r="M632" s="9">
        <f t="shared" si="43"/>
        <v>8.26</v>
      </c>
      <c r="N632" s="899">
        <v>0</v>
      </c>
      <c r="O632" s="900">
        <f t="shared" si="45"/>
        <v>1</v>
      </c>
      <c r="P632" s="901">
        <f t="shared" si="44"/>
        <v>8.26</v>
      </c>
      <c r="Q632" s="874"/>
      <c r="R632" s="874"/>
      <c r="S632" s="841"/>
      <c r="T632" s="854"/>
    </row>
    <row r="633" spans="1:20" s="344" customFormat="1" ht="25.5">
      <c r="A633" s="915"/>
      <c r="B633" s="919"/>
      <c r="C633" s="913"/>
      <c r="D633" s="49" t="s">
        <v>948</v>
      </c>
      <c r="E633" s="805">
        <f>'[3]Plan Tron'!B325</f>
        <v>7142</v>
      </c>
      <c r="F633" s="805" t="str">
        <f>'[3]Plan Tron'!C325</f>
        <v>SINAPI (INSUMO)</v>
      </c>
      <c r="G633" s="643" t="str">
        <f>'[3]Plan Tron'!D325</f>
        <v xml:space="preserve">TE SOLDAVEL, PVC, 90 GRAUS,50 MM, PARA AGUA FRIA PREDIAL (NBR 5648) </v>
      </c>
      <c r="H633" s="805" t="str">
        <f>'[3]Plan Tron'!E325</f>
        <v>UN</v>
      </c>
      <c r="I633" s="192">
        <v>5</v>
      </c>
      <c r="J633" s="10">
        <v>6.28</v>
      </c>
      <c r="K633" s="10">
        <f>'[3]Plan Tron'!F325</f>
        <v>8</v>
      </c>
      <c r="L633" s="10">
        <v>16.8</v>
      </c>
      <c r="M633" s="9">
        <f t="shared" si="43"/>
        <v>9.34</v>
      </c>
      <c r="N633" s="899">
        <v>0</v>
      </c>
      <c r="O633" s="900">
        <f t="shared" si="45"/>
        <v>5</v>
      </c>
      <c r="P633" s="901">
        <f t="shared" si="44"/>
        <v>46.7</v>
      </c>
      <c r="Q633" s="874"/>
      <c r="R633" s="874"/>
      <c r="S633" s="841"/>
      <c r="T633" s="854"/>
    </row>
    <row r="634" spans="1:20" s="344" customFormat="1" ht="25.5">
      <c r="A634" s="915"/>
      <c r="B634" s="919"/>
      <c r="C634" s="913"/>
      <c r="D634" s="49" t="s">
        <v>947</v>
      </c>
      <c r="E634" s="805">
        <f>'[3]Plan Tron'!B326</f>
        <v>7129</v>
      </c>
      <c r="F634" s="805" t="str">
        <f>'[3]Plan Tron'!C326</f>
        <v>SINAPI (INSUMO)</v>
      </c>
      <c r="G634" s="643" t="str">
        <f>'[3]Plan Tron'!D326</f>
        <v xml:space="preserve">TE DE REDUCAO, PVC, SOLDAVEL, 90 GRAUS, 50 MM X 25 MM, PARA AGUA FRIA PREDIAL </v>
      </c>
      <c r="H634" s="805" t="str">
        <f>'[3]Plan Tron'!E326</f>
        <v>UN</v>
      </c>
      <c r="I634" s="192">
        <v>2</v>
      </c>
      <c r="J634" s="10">
        <v>6.38</v>
      </c>
      <c r="K634" s="10">
        <f>'[3]Plan Tron'!F326</f>
        <v>7.73</v>
      </c>
      <c r="L634" s="10">
        <v>16.8</v>
      </c>
      <c r="M634" s="9">
        <f t="shared" si="43"/>
        <v>9.0299999999999994</v>
      </c>
      <c r="N634" s="899">
        <v>0</v>
      </c>
      <c r="O634" s="900">
        <f t="shared" si="45"/>
        <v>2</v>
      </c>
      <c r="P634" s="901">
        <f t="shared" si="44"/>
        <v>18.059999999999999</v>
      </c>
      <c r="Q634" s="874"/>
      <c r="R634" s="874"/>
      <c r="S634" s="841"/>
      <c r="T634" s="854"/>
    </row>
    <row r="635" spans="1:20" s="344" customFormat="1" ht="25.5">
      <c r="A635" s="915"/>
      <c r="B635" s="919"/>
      <c r="C635" s="913"/>
      <c r="D635" s="49" t="s">
        <v>946</v>
      </c>
      <c r="E635" s="805">
        <f>'[3]Plan Tron'!B327</f>
        <v>7131</v>
      </c>
      <c r="F635" s="805" t="str">
        <f>'[3]Plan Tron'!C327</f>
        <v>SINAPI (INSUMO)</v>
      </c>
      <c r="G635" s="643" t="str">
        <f>'[3]Plan Tron'!D327</f>
        <v xml:space="preserve">TE DE REDUCAO, PVC, SOLDAVEL, 90 GRAUS, 50 MM X 40 MM, PARA AGUA FRIA PREDIAL </v>
      </c>
      <c r="H635" s="805" t="str">
        <f>'[3]Plan Tron'!E327</f>
        <v>UN</v>
      </c>
      <c r="I635" s="192">
        <v>1</v>
      </c>
      <c r="J635" s="10">
        <v>12.45</v>
      </c>
      <c r="K635" s="10">
        <f>'[3]Plan Tron'!F327</f>
        <v>12.04</v>
      </c>
      <c r="L635" s="10">
        <v>16.8</v>
      </c>
      <c r="M635" s="9">
        <f t="shared" si="43"/>
        <v>14.06</v>
      </c>
      <c r="N635" s="899">
        <v>0</v>
      </c>
      <c r="O635" s="900">
        <f t="shared" si="45"/>
        <v>1</v>
      </c>
      <c r="P635" s="901">
        <f t="shared" si="44"/>
        <v>14.06</v>
      </c>
      <c r="Q635" s="874"/>
      <c r="R635" s="874"/>
      <c r="S635" s="841"/>
      <c r="T635" s="854"/>
    </row>
    <row r="636" spans="1:20">
      <c r="D636" s="49"/>
      <c r="E636" s="348"/>
      <c r="F636" s="74"/>
      <c r="G636" s="130"/>
      <c r="H636" s="240"/>
      <c r="I636" s="192"/>
      <c r="J636" s="10"/>
      <c r="K636" s="10"/>
      <c r="L636" s="10"/>
      <c r="M636" s="9"/>
      <c r="N636" s="926"/>
      <c r="O636" s="900"/>
      <c r="P636" s="901"/>
      <c r="Q636" s="874"/>
      <c r="R636" s="874"/>
      <c r="S636" s="841"/>
      <c r="T636" s="854"/>
    </row>
    <row r="637" spans="1:20">
      <c r="D637" s="49"/>
      <c r="E637" s="348"/>
      <c r="F637" s="74"/>
      <c r="G637" s="14"/>
      <c r="H637" s="240"/>
      <c r="I637" s="192"/>
      <c r="J637" s="10"/>
      <c r="K637" s="10"/>
      <c r="L637" s="10"/>
      <c r="M637" s="9"/>
      <c r="N637" s="936"/>
      <c r="O637" s="900"/>
      <c r="P637" s="901"/>
      <c r="Q637" s="874"/>
      <c r="R637" s="874"/>
      <c r="S637" s="841"/>
      <c r="T637" s="854"/>
    </row>
    <row r="638" spans="1:20" s="299" customFormat="1">
      <c r="A638" s="918"/>
      <c r="B638" s="922"/>
      <c r="C638" s="924"/>
      <c r="D638" s="929"/>
      <c r="E638" s="930"/>
      <c r="F638" s="929"/>
      <c r="G638" s="930" t="s">
        <v>70</v>
      </c>
      <c r="H638" s="929">
        <f>D509</f>
        <v>19</v>
      </c>
      <c r="I638" s="929"/>
      <c r="J638" s="929"/>
      <c r="K638" s="929"/>
      <c r="L638" s="929"/>
      <c r="M638" s="9"/>
      <c r="N638" s="937"/>
      <c r="O638" s="900"/>
      <c r="P638" s="901">
        <f>SUM(P516:P635)</f>
        <v>128174.73999999995</v>
      </c>
      <c r="Q638" s="874"/>
      <c r="R638" s="874"/>
      <c r="S638" s="841"/>
      <c r="T638" s="854"/>
    </row>
    <row r="639" spans="1:20">
      <c r="D639" s="44"/>
      <c r="E639" s="296"/>
      <c r="F639" s="44"/>
      <c r="G639" s="44"/>
      <c r="H639" s="44"/>
      <c r="I639" s="44"/>
      <c r="J639" s="302"/>
      <c r="K639" s="302"/>
      <c r="L639" s="44"/>
      <c r="M639" s="9"/>
      <c r="N639" s="375"/>
      <c r="O639" s="789"/>
      <c r="P639" s="863"/>
      <c r="Q639" s="874"/>
      <c r="R639" s="874"/>
      <c r="S639" s="841"/>
      <c r="T639" s="854"/>
    </row>
    <row r="640" spans="1:20" s="310" customFormat="1">
      <c r="A640" s="915"/>
      <c r="B640" s="919"/>
      <c r="C640" s="913"/>
      <c r="D640" s="108" t="s">
        <v>57</v>
      </c>
      <c r="E640" s="813"/>
      <c r="F640" s="109"/>
      <c r="G640" s="108" t="s">
        <v>1997</v>
      </c>
      <c r="H640" s="109"/>
      <c r="I640" s="109"/>
      <c r="J640" s="109"/>
      <c r="K640" s="109"/>
      <c r="L640" s="109"/>
      <c r="M640" s="791"/>
      <c r="N640" s="378"/>
      <c r="O640" s="792"/>
      <c r="P640" s="864"/>
      <c r="Q640" s="872"/>
      <c r="R640" s="872"/>
      <c r="S640" s="842"/>
      <c r="T640" s="852"/>
    </row>
    <row r="641" spans="1:20">
      <c r="D641" s="44"/>
      <c r="E641" s="296"/>
      <c r="F641" s="44"/>
      <c r="G641" s="44"/>
      <c r="H641" s="44"/>
      <c r="I641" s="44"/>
      <c r="J641" s="302"/>
      <c r="K641" s="302"/>
      <c r="L641" s="44"/>
      <c r="M641" s="9"/>
      <c r="N641" s="375"/>
      <c r="O641" s="789"/>
      <c r="P641" s="863"/>
      <c r="Q641" s="874"/>
      <c r="R641" s="874"/>
      <c r="S641" s="841"/>
      <c r="T641" s="854"/>
    </row>
    <row r="642" spans="1:20" ht="25.5">
      <c r="D642" s="45"/>
      <c r="E642" s="57"/>
      <c r="F642" s="57"/>
      <c r="G642" s="46" t="s">
        <v>1132</v>
      </c>
      <c r="H642" s="7"/>
      <c r="I642" s="48"/>
      <c r="J642" s="9"/>
      <c r="K642" s="9"/>
      <c r="L642" s="9"/>
      <c r="M642" s="9"/>
      <c r="N642" s="926"/>
      <c r="O642" s="900"/>
      <c r="P642" s="901"/>
      <c r="Q642" s="874"/>
      <c r="R642" s="874"/>
      <c r="S642" s="841"/>
      <c r="T642" s="854"/>
    </row>
    <row r="643" spans="1:20">
      <c r="D643" s="45"/>
      <c r="E643" s="57"/>
      <c r="F643" s="57"/>
      <c r="G643" s="46"/>
      <c r="H643" s="7"/>
      <c r="I643" s="48"/>
      <c r="J643" s="9"/>
      <c r="K643" s="9"/>
      <c r="L643" s="9"/>
      <c r="M643" s="9"/>
      <c r="N643" s="926"/>
      <c r="O643" s="900"/>
      <c r="P643" s="901"/>
      <c r="Q643" s="874"/>
      <c r="R643" s="874"/>
      <c r="S643" s="841"/>
      <c r="T643" s="854"/>
    </row>
    <row r="644" spans="1:20">
      <c r="D644" s="45">
        <v>1</v>
      </c>
      <c r="E644" s="57"/>
      <c r="F644" s="57"/>
      <c r="G644" s="46" t="s">
        <v>1131</v>
      </c>
      <c r="H644" s="7"/>
      <c r="I644" s="48"/>
      <c r="J644" s="9"/>
      <c r="K644" s="9"/>
      <c r="L644" s="9"/>
      <c r="M644" s="9"/>
      <c r="N644" s="926"/>
      <c r="O644" s="900"/>
      <c r="P644" s="901"/>
      <c r="Q644" s="874"/>
      <c r="R644" s="874"/>
      <c r="S644" s="841"/>
      <c r="T644" s="854"/>
    </row>
    <row r="645" spans="1:20">
      <c r="D645" s="49" t="s">
        <v>20</v>
      </c>
      <c r="E645" s="57"/>
      <c r="F645" s="57"/>
      <c r="G645" s="12" t="s">
        <v>885</v>
      </c>
      <c r="H645" s="7"/>
      <c r="I645" s="48"/>
      <c r="J645" s="253"/>
      <c r="K645" s="253"/>
      <c r="L645" s="253"/>
      <c r="M645" s="9"/>
      <c r="N645" s="926"/>
      <c r="O645" s="900"/>
      <c r="P645" s="901"/>
      <c r="Q645" s="874"/>
      <c r="R645" s="874"/>
      <c r="S645" s="841"/>
      <c r="T645" s="854"/>
    </row>
    <row r="646" spans="1:20" s="837" customFormat="1" ht="38.25">
      <c r="A646" s="915"/>
      <c r="B646" s="919"/>
      <c r="C646" s="913" t="s">
        <v>2455</v>
      </c>
      <c r="D646" s="49" t="s">
        <v>153</v>
      </c>
      <c r="E646" s="57" t="s">
        <v>1129</v>
      </c>
      <c r="F646" s="50"/>
      <c r="G646" s="134" t="s">
        <v>1130</v>
      </c>
      <c r="H646" s="18" t="s">
        <v>183</v>
      </c>
      <c r="I646" s="51">
        <v>1</v>
      </c>
      <c r="J646" s="254">
        <v>1460.62</v>
      </c>
      <c r="K646" s="9">
        <f>J646*$S$3</f>
        <v>1913.4122</v>
      </c>
      <c r="L646" s="254">
        <v>16.8</v>
      </c>
      <c r="M646" s="9">
        <f t="shared" si="43"/>
        <v>2234.87</v>
      </c>
      <c r="N646" s="899">
        <v>0</v>
      </c>
      <c r="O646" s="900">
        <f t="shared" si="45"/>
        <v>1</v>
      </c>
      <c r="P646" s="901">
        <f t="shared" si="44"/>
        <v>2234.87</v>
      </c>
      <c r="Q646" s="877"/>
      <c r="R646" s="877"/>
      <c r="S646" s="845"/>
      <c r="T646" s="858"/>
    </row>
    <row r="647" spans="1:20" s="837" customFormat="1" ht="25.5">
      <c r="A647" s="915"/>
      <c r="B647" s="919"/>
      <c r="C647" s="913" t="s">
        <v>2455</v>
      </c>
      <c r="D647" s="49" t="s">
        <v>151</v>
      </c>
      <c r="E647" s="57" t="s">
        <v>1127</v>
      </c>
      <c r="F647" s="50"/>
      <c r="G647" s="134" t="s">
        <v>1128</v>
      </c>
      <c r="H647" s="18" t="s">
        <v>183</v>
      </c>
      <c r="I647" s="51">
        <v>1</v>
      </c>
      <c r="J647" s="254">
        <v>1725</v>
      </c>
      <c r="K647" s="9">
        <f>J647*$S$3</f>
        <v>2259.75</v>
      </c>
      <c r="L647" s="254">
        <v>16.8</v>
      </c>
      <c r="M647" s="9">
        <f t="shared" si="43"/>
        <v>2639.39</v>
      </c>
      <c r="N647" s="899">
        <v>0</v>
      </c>
      <c r="O647" s="900">
        <f t="shared" si="45"/>
        <v>1</v>
      </c>
      <c r="P647" s="901">
        <f t="shared" si="44"/>
        <v>2639.39</v>
      </c>
      <c r="Q647" s="877"/>
      <c r="R647" s="877"/>
      <c r="S647" s="845"/>
      <c r="T647" s="858"/>
    </row>
    <row r="648" spans="1:20">
      <c r="D648" s="49" t="s">
        <v>19</v>
      </c>
      <c r="E648" s="57"/>
      <c r="F648" s="50"/>
      <c r="G648" s="12" t="s">
        <v>182</v>
      </c>
      <c r="H648" s="18"/>
      <c r="I648" s="219"/>
      <c r="J648" s="255"/>
      <c r="K648" s="255"/>
      <c r="L648" s="255"/>
      <c r="M648" s="9"/>
      <c r="N648" s="899"/>
      <c r="O648" s="900"/>
      <c r="P648" s="901"/>
      <c r="Q648" s="874"/>
      <c r="R648" s="874"/>
      <c r="S648" s="841"/>
      <c r="T648" s="854"/>
    </row>
    <row r="649" spans="1:20" s="610" customFormat="1" ht="51">
      <c r="A649" s="915"/>
      <c r="B649" s="919"/>
      <c r="C649" s="913" t="s">
        <v>2455</v>
      </c>
      <c r="D649" s="49" t="s">
        <v>147</v>
      </c>
      <c r="E649" s="57" t="s">
        <v>229</v>
      </c>
      <c r="F649" s="50"/>
      <c r="G649" s="943" t="s">
        <v>784</v>
      </c>
      <c r="H649" s="18" t="s">
        <v>110</v>
      </c>
      <c r="I649" s="51">
        <v>100</v>
      </c>
      <c r="J649" s="254">
        <v>4.26</v>
      </c>
      <c r="K649" s="9">
        <f>J649*$S$3</f>
        <v>5.5805999999999996</v>
      </c>
      <c r="L649" s="254">
        <v>16.8</v>
      </c>
      <c r="M649" s="9">
        <f t="shared" si="43"/>
        <v>6.52</v>
      </c>
      <c r="N649" s="899">
        <v>0</v>
      </c>
      <c r="O649" s="900">
        <f t="shared" si="45"/>
        <v>100</v>
      </c>
      <c r="P649" s="901">
        <f t="shared" si="44"/>
        <v>652</v>
      </c>
      <c r="Q649" s="873"/>
      <c r="R649" s="873"/>
      <c r="S649" s="840"/>
      <c r="T649" s="853"/>
    </row>
    <row r="650" spans="1:20">
      <c r="D650" s="49" t="s">
        <v>18</v>
      </c>
      <c r="E650" s="57"/>
      <c r="F650" s="50"/>
      <c r="G650" s="12" t="s">
        <v>168</v>
      </c>
      <c r="H650" s="18"/>
      <c r="I650" s="51"/>
      <c r="J650" s="254"/>
      <c r="K650" s="254"/>
      <c r="L650" s="254"/>
      <c r="M650" s="9"/>
      <c r="N650" s="899"/>
      <c r="O650" s="900"/>
      <c r="P650" s="901"/>
      <c r="Q650" s="874"/>
      <c r="R650" s="874"/>
      <c r="S650" s="841"/>
      <c r="T650" s="854"/>
    </row>
    <row r="651" spans="1:20" s="800" customFormat="1" ht="25.5">
      <c r="A651" s="915"/>
      <c r="B651" s="919"/>
      <c r="C651" s="913"/>
      <c r="D651" s="49" t="s">
        <v>201</v>
      </c>
      <c r="E651" s="57">
        <v>2454</v>
      </c>
      <c r="F651" s="805" t="s">
        <v>2017</v>
      </c>
      <c r="G651" s="12" t="s">
        <v>1126</v>
      </c>
      <c r="H651" s="7" t="s">
        <v>110</v>
      </c>
      <c r="I651" s="21">
        <v>18</v>
      </c>
      <c r="J651" s="254">
        <v>7.1</v>
      </c>
      <c r="K651" s="9">
        <f>J651*$S$3</f>
        <v>9.3010000000000002</v>
      </c>
      <c r="L651" s="254">
        <v>16.8</v>
      </c>
      <c r="M651" s="9">
        <f t="shared" si="43"/>
        <v>10.86</v>
      </c>
      <c r="N651" s="899">
        <v>0</v>
      </c>
      <c r="O651" s="900">
        <f t="shared" si="45"/>
        <v>18</v>
      </c>
      <c r="P651" s="901">
        <f t="shared" si="44"/>
        <v>195.48</v>
      </c>
      <c r="Q651" s="875"/>
      <c r="R651" s="875"/>
      <c r="S651" s="844"/>
      <c r="T651" s="857"/>
    </row>
    <row r="652" spans="1:20" s="344" customFormat="1" ht="25.5">
      <c r="A652" s="915"/>
      <c r="B652" s="919"/>
      <c r="C652" s="913"/>
      <c r="D652" s="49" t="s">
        <v>198</v>
      </c>
      <c r="E652" s="805">
        <f>'[3]Plan Tron'!B328</f>
        <v>2637</v>
      </c>
      <c r="F652" s="805" t="str">
        <f>'[3]Plan Tron'!C328</f>
        <v>SINAPI (INSUMO)</v>
      </c>
      <c r="G652" s="643" t="str">
        <f>'[3]Plan Tron'!D328</f>
        <v xml:space="preserve">LUVA PARA ELETRODUTO, EM ACO GALVANIZADO ELETROLITICO, DIAMETRO DE 20 MM (3/4") </v>
      </c>
      <c r="H652" s="805" t="str">
        <f>'[3]Plan Tron'!E328</f>
        <v>UN</v>
      </c>
      <c r="I652" s="51">
        <v>116</v>
      </c>
      <c r="J652" s="254">
        <v>0.89</v>
      </c>
      <c r="K652" s="254">
        <f>'[3]Plan Tron'!F328</f>
        <v>0.94</v>
      </c>
      <c r="L652" s="254">
        <v>16.8</v>
      </c>
      <c r="M652" s="9">
        <f t="shared" si="43"/>
        <v>1.1000000000000001</v>
      </c>
      <c r="N652" s="899">
        <v>0</v>
      </c>
      <c r="O652" s="900">
        <f t="shared" si="45"/>
        <v>116</v>
      </c>
      <c r="P652" s="901">
        <f t="shared" si="44"/>
        <v>127.6</v>
      </c>
      <c r="Q652" s="874"/>
      <c r="R652" s="874"/>
      <c r="S652" s="841"/>
      <c r="T652" s="854"/>
    </row>
    <row r="653" spans="1:20" s="344" customFormat="1" ht="25.5">
      <c r="A653" s="915"/>
      <c r="B653" s="919"/>
      <c r="C653" s="913"/>
      <c r="D653" s="49" t="s">
        <v>390</v>
      </c>
      <c r="E653" s="805">
        <f>'[3]Plan Tron'!B329</f>
        <v>2639</v>
      </c>
      <c r="F653" s="805" t="str">
        <f>'[3]Plan Tron'!C329</f>
        <v>SINAPI (INSUMO)</v>
      </c>
      <c r="G653" s="643" t="str">
        <f>'[3]Plan Tron'!D329</f>
        <v>LUVA PARA ELETRODUTO, EM ACO GALVANIZADO ELETROLITICO, DIAMETRO DE 32 MM (1 1/4")</v>
      </c>
      <c r="H653" s="805" t="str">
        <f>'[3]Plan Tron'!E329</f>
        <v>UN</v>
      </c>
      <c r="I653" s="51">
        <v>8</v>
      </c>
      <c r="J653" s="254">
        <v>1.68</v>
      </c>
      <c r="K653" s="254">
        <f>'[3]Plan Tron'!F329</f>
        <v>1.94</v>
      </c>
      <c r="L653" s="254">
        <v>16.8</v>
      </c>
      <c r="M653" s="9">
        <f t="shared" si="43"/>
        <v>2.27</v>
      </c>
      <c r="N653" s="899">
        <v>0</v>
      </c>
      <c r="O653" s="900">
        <f t="shared" si="45"/>
        <v>8</v>
      </c>
      <c r="P653" s="901">
        <f t="shared" si="44"/>
        <v>18.16</v>
      </c>
      <c r="Q653" s="874"/>
      <c r="R653" s="874"/>
      <c r="S653" s="841"/>
      <c r="T653" s="854"/>
    </row>
    <row r="654" spans="1:20" s="344" customFormat="1" ht="25.5">
      <c r="A654" s="915"/>
      <c r="B654" s="919"/>
      <c r="C654" s="913"/>
      <c r="D654" s="49" t="s">
        <v>387</v>
      </c>
      <c r="E654" s="805">
        <f>'[3]Plan Tron'!B330</f>
        <v>2618</v>
      </c>
      <c r="F654" s="805" t="str">
        <f>'[3]Plan Tron'!C330</f>
        <v>SINAPI (INSUMO)</v>
      </c>
      <c r="G654" s="643" t="str">
        <f>'[3]Plan Tron'!D330</f>
        <v>CURVA 90 GRAUS, PARA ELETRODUTO, EM ACO GALVANIZADO ELETROLITICO, DIAMETRO DE 32 MM (1 1/4")</v>
      </c>
      <c r="H654" s="805" t="str">
        <f>'[3]Plan Tron'!E330</f>
        <v>UN</v>
      </c>
      <c r="I654" s="51">
        <v>1</v>
      </c>
      <c r="J654" s="254">
        <v>6.79</v>
      </c>
      <c r="K654" s="254">
        <f>'[3]Plan Tron'!F330</f>
        <v>7.75</v>
      </c>
      <c r="L654" s="254">
        <v>16.8</v>
      </c>
      <c r="M654" s="9">
        <f t="shared" si="43"/>
        <v>9.0500000000000007</v>
      </c>
      <c r="N654" s="899">
        <v>0</v>
      </c>
      <c r="O654" s="900">
        <f t="shared" si="45"/>
        <v>1</v>
      </c>
      <c r="P654" s="901">
        <f t="shared" si="44"/>
        <v>9.0500000000000007</v>
      </c>
      <c r="Q654" s="874"/>
      <c r="R654" s="874"/>
      <c r="S654" s="841"/>
      <c r="T654" s="854"/>
    </row>
    <row r="655" spans="1:20" s="800" customFormat="1" ht="25.5">
      <c r="A655" s="915"/>
      <c r="B655" s="919"/>
      <c r="C655" s="913"/>
      <c r="D655" s="49" t="s">
        <v>384</v>
      </c>
      <c r="E655" s="57">
        <v>851</v>
      </c>
      <c r="F655" s="805" t="s">
        <v>2017</v>
      </c>
      <c r="G655" s="12" t="s">
        <v>1125</v>
      </c>
      <c r="H655" s="18" t="s">
        <v>158</v>
      </c>
      <c r="I655" s="51">
        <v>2</v>
      </c>
      <c r="J655" s="254">
        <v>0.47</v>
      </c>
      <c r="K655" s="9">
        <f>J655*$S$3</f>
        <v>0.61570000000000003</v>
      </c>
      <c r="L655" s="254">
        <v>16.8</v>
      </c>
      <c r="M655" s="9">
        <f t="shared" si="43"/>
        <v>0.72</v>
      </c>
      <c r="N655" s="899">
        <v>0</v>
      </c>
      <c r="O655" s="900">
        <f t="shared" si="45"/>
        <v>2</v>
      </c>
      <c r="P655" s="901">
        <f t="shared" si="44"/>
        <v>1.44</v>
      </c>
      <c r="Q655" s="875"/>
      <c r="R655" s="875"/>
      <c r="S655" s="844"/>
      <c r="T655" s="857"/>
    </row>
    <row r="656" spans="1:20" s="800" customFormat="1" ht="25.5">
      <c r="A656" s="915"/>
      <c r="B656" s="919"/>
      <c r="C656" s="913"/>
      <c r="D656" s="49" t="s">
        <v>381</v>
      </c>
      <c r="E656" s="57">
        <v>852</v>
      </c>
      <c r="F656" s="805" t="s">
        <v>2017</v>
      </c>
      <c r="G656" s="12" t="s">
        <v>1124</v>
      </c>
      <c r="H656" s="18" t="s">
        <v>158</v>
      </c>
      <c r="I656" s="51">
        <v>3</v>
      </c>
      <c r="J656" s="254">
        <v>1.06</v>
      </c>
      <c r="K656" s="9">
        <f>J656*$S$3</f>
        <v>1.3886000000000001</v>
      </c>
      <c r="L656" s="254">
        <v>16.8</v>
      </c>
      <c r="M656" s="9">
        <f t="shared" si="43"/>
        <v>1.62</v>
      </c>
      <c r="N656" s="899">
        <v>0</v>
      </c>
      <c r="O656" s="900">
        <f t="shared" si="45"/>
        <v>3</v>
      </c>
      <c r="P656" s="901">
        <f t="shared" si="44"/>
        <v>4.8600000000000003</v>
      </c>
      <c r="Q656" s="875"/>
      <c r="R656" s="875"/>
      <c r="S656" s="844"/>
      <c r="T656" s="857"/>
    </row>
    <row r="657" spans="1:20" s="344" customFormat="1" ht="25.5">
      <c r="A657" s="915"/>
      <c r="B657" s="919"/>
      <c r="C657" s="913"/>
      <c r="D657" s="49" t="s">
        <v>378</v>
      </c>
      <c r="E657" s="805">
        <f>'[3]Plan Tron'!B331</f>
        <v>400</v>
      </c>
      <c r="F657" s="805" t="str">
        <f>'[3]Plan Tron'!C331</f>
        <v>SINAPI (INSUMO)</v>
      </c>
      <c r="G657" s="643" t="str">
        <f>'[3]Plan Tron'!D331</f>
        <v>ABRACADEIRA EM ACO PARA AMARRACAO DE ELETRODUTOS, TIPO D, COM 3/4" E PARAFUSO DE FIXACAO</v>
      </c>
      <c r="H657" s="805" t="str">
        <f>'[3]Plan Tron'!E331</f>
        <v>UN</v>
      </c>
      <c r="I657" s="21">
        <v>230</v>
      </c>
      <c r="J657" s="254">
        <v>0.44</v>
      </c>
      <c r="K657" s="254">
        <f>'[3]Plan Tron'!F331</f>
        <v>0.61</v>
      </c>
      <c r="L657" s="254">
        <v>16.8</v>
      </c>
      <c r="M657" s="9">
        <f t="shared" ref="M657:M720" si="46">ROUND(K657*(L657/100+1),2)</f>
        <v>0.71</v>
      </c>
      <c r="N657" s="899">
        <v>0</v>
      </c>
      <c r="O657" s="900">
        <f t="shared" si="45"/>
        <v>230</v>
      </c>
      <c r="P657" s="901">
        <f t="shared" ref="P657:P720" si="47">ROUND(O657*M657,2)</f>
        <v>163.30000000000001</v>
      </c>
      <c r="Q657" s="874"/>
      <c r="R657" s="874"/>
      <c r="S657" s="841"/>
      <c r="T657" s="854"/>
    </row>
    <row r="658" spans="1:20" s="344" customFormat="1" ht="25.5">
      <c r="A658" s="915"/>
      <c r="B658" s="919"/>
      <c r="C658" s="913"/>
      <c r="D658" s="49" t="s">
        <v>777</v>
      </c>
      <c r="E658" s="805">
        <f>'[3]Plan Tron'!B332</f>
        <v>395</v>
      </c>
      <c r="F658" s="805" t="str">
        <f>'[3]Plan Tron'!C332</f>
        <v>SINAPI (INSUMO)</v>
      </c>
      <c r="G658" s="643" t="str">
        <f>'[3]Plan Tron'!D332</f>
        <v>ABRACADEIRA EM ACO PARA AMARRACAO DE ELETRODUTOS, TIPO D, COM 1 1/4" E PARAFUSO DE FIXACAO</v>
      </c>
      <c r="H658" s="805" t="str">
        <f>'[3]Plan Tron'!E332</f>
        <v>UN</v>
      </c>
      <c r="I658" s="21">
        <v>12</v>
      </c>
      <c r="J658" s="254">
        <v>0.56000000000000005</v>
      </c>
      <c r="K658" s="254">
        <f>'[3]Plan Tron'!F332</f>
        <v>1.1599999999999999</v>
      </c>
      <c r="L658" s="254">
        <v>16.8</v>
      </c>
      <c r="M658" s="9">
        <f t="shared" si="46"/>
        <v>1.35</v>
      </c>
      <c r="N658" s="899">
        <v>0</v>
      </c>
      <c r="O658" s="900">
        <f t="shared" si="45"/>
        <v>12</v>
      </c>
      <c r="P658" s="901">
        <f t="shared" si="47"/>
        <v>16.2</v>
      </c>
      <c r="Q658" s="874"/>
      <c r="R658" s="874"/>
      <c r="S658" s="841"/>
      <c r="T658" s="854"/>
    </row>
    <row r="659" spans="1:20" s="344" customFormat="1" ht="25.5">
      <c r="A659" s="915"/>
      <c r="B659" s="919"/>
      <c r="C659" s="913"/>
      <c r="D659" s="49" t="s">
        <v>775</v>
      </c>
      <c r="E659" s="805">
        <f>'[3]Plan Tron'!B333</f>
        <v>2588</v>
      </c>
      <c r="F659" s="805" t="str">
        <f>'[3]Plan Tron'!C333</f>
        <v>SINAPI (INSUMO)</v>
      </c>
      <c r="G659" s="643" t="str">
        <f>'[3]Plan Tron'!D333</f>
        <v>CONDULETE DE ALUMINIO TIPO LR, PARA ELETRODUTO ROSCAVEL DE 1 1/4", COM TAMPA CEGA</v>
      </c>
      <c r="H659" s="805" t="str">
        <f>'[3]Plan Tron'!E333</f>
        <v>UN</v>
      </c>
      <c r="I659" s="21">
        <v>3</v>
      </c>
      <c r="J659" s="254">
        <v>13.08</v>
      </c>
      <c r="K659" s="254">
        <f>'[3]Plan Tron'!F333</f>
        <v>14.64</v>
      </c>
      <c r="L659" s="254">
        <v>16.8</v>
      </c>
      <c r="M659" s="9">
        <f t="shared" si="46"/>
        <v>17.100000000000001</v>
      </c>
      <c r="N659" s="899">
        <v>0</v>
      </c>
      <c r="O659" s="900">
        <f t="shared" si="45"/>
        <v>3</v>
      </c>
      <c r="P659" s="901">
        <f t="shared" si="47"/>
        <v>51.3</v>
      </c>
      <c r="Q659" s="874"/>
      <c r="R659" s="874"/>
      <c r="S659" s="841"/>
      <c r="T659" s="854"/>
    </row>
    <row r="660" spans="1:20" s="344" customFormat="1" ht="25.5">
      <c r="A660" s="915"/>
      <c r="B660" s="919"/>
      <c r="C660" s="913"/>
      <c r="D660" s="49" t="s">
        <v>899</v>
      </c>
      <c r="E660" s="805">
        <f>'[3]Plan Tron'!B334</f>
        <v>2593</v>
      </c>
      <c r="F660" s="805" t="str">
        <f>'[3]Plan Tron'!C334</f>
        <v>SINAPI (INSUMO)</v>
      </c>
      <c r="G660" s="643" t="str">
        <f>'[3]Plan Tron'!D334</f>
        <v>CONDULETE DE ALUMINIO TIPO LR, PARA ELETRODUTO ROSCAVEL DE 3/4", COM TAMPA CEGA</v>
      </c>
      <c r="H660" s="805" t="str">
        <f>'[3]Plan Tron'!E334</f>
        <v>UN</v>
      </c>
      <c r="I660" s="21">
        <v>28</v>
      </c>
      <c r="J660" s="254">
        <v>4.93</v>
      </c>
      <c r="K660" s="254">
        <f>'[3]Plan Tron'!F334</f>
        <v>6.01</v>
      </c>
      <c r="L660" s="254">
        <v>16.8</v>
      </c>
      <c r="M660" s="9">
        <f t="shared" si="46"/>
        <v>7.02</v>
      </c>
      <c r="N660" s="899">
        <v>0</v>
      </c>
      <c r="O660" s="900">
        <f t="shared" si="45"/>
        <v>28</v>
      </c>
      <c r="P660" s="901">
        <f t="shared" si="47"/>
        <v>196.56</v>
      </c>
      <c r="Q660" s="874"/>
      <c r="R660" s="874"/>
      <c r="S660" s="841"/>
      <c r="T660" s="854"/>
    </row>
    <row r="661" spans="1:20" s="610" customFormat="1">
      <c r="A661" s="915"/>
      <c r="B661" s="919"/>
      <c r="C661" s="913" t="s">
        <v>2455</v>
      </c>
      <c r="D661" s="49" t="s">
        <v>1123</v>
      </c>
      <c r="E661" s="57" t="s">
        <v>1121</v>
      </c>
      <c r="F661" s="50"/>
      <c r="G661" s="114" t="s">
        <v>1122</v>
      </c>
      <c r="H661" s="7" t="s">
        <v>158</v>
      </c>
      <c r="I661" s="21">
        <v>63</v>
      </c>
      <c r="J661" s="254">
        <v>22.53</v>
      </c>
      <c r="K661" s="9">
        <f>J661*$S$3</f>
        <v>29.514300000000002</v>
      </c>
      <c r="L661" s="254">
        <v>16.8</v>
      </c>
      <c r="M661" s="9">
        <f t="shared" si="46"/>
        <v>34.47</v>
      </c>
      <c r="N661" s="899">
        <v>0</v>
      </c>
      <c r="O661" s="900">
        <f t="shared" si="45"/>
        <v>63</v>
      </c>
      <c r="P661" s="901">
        <f t="shared" si="47"/>
        <v>2171.61</v>
      </c>
      <c r="Q661" s="873"/>
      <c r="R661" s="873"/>
      <c r="S661" s="840"/>
      <c r="T661" s="853"/>
    </row>
    <row r="662" spans="1:20" s="610" customFormat="1">
      <c r="A662" s="915"/>
      <c r="B662" s="919"/>
      <c r="C662" s="913" t="s">
        <v>2455</v>
      </c>
      <c r="D662" s="49" t="s">
        <v>1120</v>
      </c>
      <c r="E662" s="57" t="s">
        <v>778</v>
      </c>
      <c r="F662" s="50"/>
      <c r="G662" s="114" t="s">
        <v>1119</v>
      </c>
      <c r="H662" s="7" t="s">
        <v>158</v>
      </c>
      <c r="I662" s="21">
        <v>4</v>
      </c>
      <c r="J662" s="254">
        <v>32.46</v>
      </c>
      <c r="K662" s="9">
        <f>J662*$S$3</f>
        <v>42.522600000000004</v>
      </c>
      <c r="L662" s="254">
        <v>16.8</v>
      </c>
      <c r="M662" s="9">
        <f t="shared" si="46"/>
        <v>49.67</v>
      </c>
      <c r="N662" s="899">
        <v>0</v>
      </c>
      <c r="O662" s="900">
        <f t="shared" si="45"/>
        <v>4</v>
      </c>
      <c r="P662" s="901">
        <f t="shared" si="47"/>
        <v>198.68</v>
      </c>
      <c r="Q662" s="873"/>
      <c r="R662" s="873"/>
      <c r="S662" s="840"/>
      <c r="T662" s="853"/>
    </row>
    <row r="663" spans="1:20" s="610" customFormat="1">
      <c r="A663" s="915"/>
      <c r="B663" s="919"/>
      <c r="C663" s="913" t="s">
        <v>2455</v>
      </c>
      <c r="D663" s="49" t="s">
        <v>1118</v>
      </c>
      <c r="E663" s="57" t="s">
        <v>1116</v>
      </c>
      <c r="F663" s="50"/>
      <c r="G663" s="114" t="s">
        <v>1117</v>
      </c>
      <c r="H663" s="7" t="s">
        <v>158</v>
      </c>
      <c r="I663" s="21">
        <v>2</v>
      </c>
      <c r="J663" s="254">
        <v>22.53</v>
      </c>
      <c r="K663" s="9">
        <f>J663*$S$3</f>
        <v>29.514300000000002</v>
      </c>
      <c r="L663" s="254">
        <v>16.8</v>
      </c>
      <c r="M663" s="9">
        <f t="shared" si="46"/>
        <v>34.47</v>
      </c>
      <c r="N663" s="899">
        <v>0</v>
      </c>
      <c r="O663" s="900">
        <f t="shared" si="45"/>
        <v>2</v>
      </c>
      <c r="P663" s="901">
        <f t="shared" si="47"/>
        <v>68.94</v>
      </c>
      <c r="Q663" s="873"/>
      <c r="R663" s="873"/>
      <c r="S663" s="840"/>
      <c r="T663" s="853"/>
    </row>
    <row r="664" spans="1:20" s="610" customFormat="1">
      <c r="A664" s="915"/>
      <c r="B664" s="919"/>
      <c r="C664" s="913" t="s">
        <v>2455</v>
      </c>
      <c r="D664" s="49" t="s">
        <v>1115</v>
      </c>
      <c r="E664" s="57" t="s">
        <v>1113</v>
      </c>
      <c r="F664" s="50"/>
      <c r="G664" s="114" t="s">
        <v>1114</v>
      </c>
      <c r="H664" s="7" t="s">
        <v>158</v>
      </c>
      <c r="I664" s="21">
        <v>15</v>
      </c>
      <c r="J664" s="254">
        <v>32.46</v>
      </c>
      <c r="K664" s="9">
        <f>J664*$S$3</f>
        <v>42.522600000000004</v>
      </c>
      <c r="L664" s="254">
        <v>16.8</v>
      </c>
      <c r="M664" s="9">
        <f t="shared" si="46"/>
        <v>49.67</v>
      </c>
      <c r="N664" s="899">
        <v>0</v>
      </c>
      <c r="O664" s="900">
        <f t="shared" si="45"/>
        <v>15</v>
      </c>
      <c r="P664" s="901">
        <f t="shared" si="47"/>
        <v>745.05</v>
      </c>
      <c r="Q664" s="873"/>
      <c r="R664" s="873"/>
      <c r="S664" s="840"/>
      <c r="T664" s="853"/>
    </row>
    <row r="665" spans="1:20">
      <c r="D665" s="49"/>
      <c r="E665" s="57"/>
      <c r="F665" s="50"/>
      <c r="G665" s="114"/>
      <c r="H665" s="7"/>
      <c r="I665" s="21"/>
      <c r="J665" s="254"/>
      <c r="K665" s="254"/>
      <c r="L665" s="254"/>
      <c r="M665" s="9"/>
      <c r="N665" s="899"/>
      <c r="O665" s="900"/>
      <c r="P665" s="901"/>
      <c r="Q665" s="874"/>
      <c r="R665" s="874"/>
      <c r="S665" s="841"/>
      <c r="T665" s="854"/>
    </row>
    <row r="666" spans="1:20">
      <c r="D666" s="49"/>
      <c r="E666" s="57"/>
      <c r="F666" s="50"/>
      <c r="G666" s="114"/>
      <c r="H666" s="7"/>
      <c r="I666" s="21"/>
      <c r="J666" s="254"/>
      <c r="K666" s="254"/>
      <c r="L666" s="254"/>
      <c r="M666" s="9"/>
      <c r="N666" s="899"/>
      <c r="O666" s="900"/>
      <c r="P666" s="901"/>
      <c r="Q666" s="874"/>
      <c r="R666" s="874"/>
      <c r="S666" s="841"/>
      <c r="T666" s="854"/>
    </row>
    <row r="667" spans="1:20">
      <c r="D667" s="49" t="s">
        <v>17</v>
      </c>
      <c r="E667" s="57"/>
      <c r="F667" s="50"/>
      <c r="G667" s="12" t="s">
        <v>440</v>
      </c>
      <c r="H667" s="7"/>
      <c r="I667" s="21"/>
      <c r="J667" s="254"/>
      <c r="K667" s="254"/>
      <c r="L667" s="254"/>
      <c r="M667" s="9"/>
      <c r="N667" s="899"/>
      <c r="O667" s="900"/>
      <c r="P667" s="901"/>
      <c r="Q667" s="874"/>
      <c r="R667" s="874"/>
      <c r="S667" s="841"/>
      <c r="T667" s="854"/>
    </row>
    <row r="668" spans="1:20" s="610" customFormat="1" ht="38.25">
      <c r="A668" s="915"/>
      <c r="B668" s="919"/>
      <c r="C668" s="913" t="s">
        <v>2455</v>
      </c>
      <c r="D668" s="49" t="s">
        <v>195</v>
      </c>
      <c r="E668" s="57" t="s">
        <v>1111</v>
      </c>
      <c r="F668" s="50"/>
      <c r="G668" s="12" t="s">
        <v>1112</v>
      </c>
      <c r="H668" s="7" t="s">
        <v>183</v>
      </c>
      <c r="I668" s="21">
        <v>2</v>
      </c>
      <c r="J668" s="254">
        <v>193.85</v>
      </c>
      <c r="K668" s="9">
        <f>J668*$S$3</f>
        <v>253.9435</v>
      </c>
      <c r="L668" s="254">
        <v>16.8</v>
      </c>
      <c r="M668" s="9">
        <f t="shared" si="46"/>
        <v>296.61</v>
      </c>
      <c r="N668" s="899">
        <v>0</v>
      </c>
      <c r="O668" s="900">
        <f t="shared" si="45"/>
        <v>2</v>
      </c>
      <c r="P668" s="901">
        <f t="shared" si="47"/>
        <v>593.22</v>
      </c>
      <c r="Q668" s="873"/>
      <c r="R668" s="873"/>
      <c r="S668" s="840"/>
      <c r="T668" s="853"/>
    </row>
    <row r="669" spans="1:20" s="610" customFormat="1" ht="38.25">
      <c r="A669" s="915"/>
      <c r="B669" s="919"/>
      <c r="C669" s="913" t="s">
        <v>2455</v>
      </c>
      <c r="D669" s="49" t="s">
        <v>192</v>
      </c>
      <c r="E669" s="57" t="s">
        <v>1109</v>
      </c>
      <c r="F669" s="50"/>
      <c r="G669" s="12" t="s">
        <v>1110</v>
      </c>
      <c r="H669" s="7" t="s">
        <v>183</v>
      </c>
      <c r="I669" s="21">
        <v>6</v>
      </c>
      <c r="J669" s="254">
        <v>200.39</v>
      </c>
      <c r="K669" s="9">
        <f>J669*$S$3</f>
        <v>262.51089999999999</v>
      </c>
      <c r="L669" s="254">
        <v>16.8</v>
      </c>
      <c r="M669" s="9">
        <f t="shared" si="46"/>
        <v>306.61</v>
      </c>
      <c r="N669" s="899">
        <v>0</v>
      </c>
      <c r="O669" s="900">
        <f t="shared" si="45"/>
        <v>6</v>
      </c>
      <c r="P669" s="901">
        <f t="shared" si="47"/>
        <v>1839.66</v>
      </c>
      <c r="Q669" s="873"/>
      <c r="R669" s="873"/>
      <c r="S669" s="840"/>
      <c r="T669" s="853"/>
    </row>
    <row r="670" spans="1:20" s="610" customFormat="1" ht="38.25">
      <c r="A670" s="915"/>
      <c r="B670" s="919"/>
      <c r="C670" s="913" t="s">
        <v>2455</v>
      </c>
      <c r="D670" s="49" t="s">
        <v>280</v>
      </c>
      <c r="E670" s="57" t="s">
        <v>1107</v>
      </c>
      <c r="F670" s="50"/>
      <c r="G670" s="12" t="s">
        <v>1108</v>
      </c>
      <c r="H670" s="7" t="s">
        <v>183</v>
      </c>
      <c r="I670" s="21">
        <v>24</v>
      </c>
      <c r="J670" s="254">
        <v>350</v>
      </c>
      <c r="K670" s="9">
        <f>J670*$S$3</f>
        <v>458.5</v>
      </c>
      <c r="L670" s="254">
        <v>16.8</v>
      </c>
      <c r="M670" s="9">
        <f t="shared" si="46"/>
        <v>535.53</v>
      </c>
      <c r="N670" s="899">
        <v>0</v>
      </c>
      <c r="O670" s="900">
        <f t="shared" si="45"/>
        <v>24</v>
      </c>
      <c r="P670" s="901">
        <f t="shared" si="47"/>
        <v>12852.72</v>
      </c>
      <c r="Q670" s="873"/>
      <c r="R670" s="873"/>
      <c r="S670" s="840"/>
      <c r="T670" s="853"/>
    </row>
    <row r="671" spans="1:20" s="610" customFormat="1" ht="38.25">
      <c r="A671" s="915"/>
      <c r="B671" s="919"/>
      <c r="C671" s="913" t="s">
        <v>2455</v>
      </c>
      <c r="D671" s="49" t="s">
        <v>277</v>
      </c>
      <c r="E671" s="57" t="s">
        <v>1105</v>
      </c>
      <c r="F671" s="50"/>
      <c r="G671" s="12" t="s">
        <v>1106</v>
      </c>
      <c r="H671" s="7" t="s">
        <v>183</v>
      </c>
      <c r="I671" s="21">
        <v>1</v>
      </c>
      <c r="J671" s="254">
        <v>185.81</v>
      </c>
      <c r="K671" s="9">
        <f>J671*$S$3</f>
        <v>243.4111</v>
      </c>
      <c r="L671" s="254">
        <v>16.8</v>
      </c>
      <c r="M671" s="9">
        <f t="shared" si="46"/>
        <v>284.3</v>
      </c>
      <c r="N671" s="899">
        <v>0</v>
      </c>
      <c r="O671" s="900">
        <f t="shared" si="45"/>
        <v>1</v>
      </c>
      <c r="P671" s="901">
        <f t="shared" si="47"/>
        <v>284.3</v>
      </c>
      <c r="Q671" s="873"/>
      <c r="R671" s="873"/>
      <c r="S671" s="840"/>
      <c r="T671" s="853"/>
    </row>
    <row r="672" spans="1:20" s="610" customFormat="1" ht="38.25">
      <c r="A672" s="915"/>
      <c r="B672" s="919"/>
      <c r="C672" s="913" t="s">
        <v>2455</v>
      </c>
      <c r="D672" s="49" t="s">
        <v>275</v>
      </c>
      <c r="E672" s="57" t="s">
        <v>1103</v>
      </c>
      <c r="F672" s="50"/>
      <c r="G672" s="12" t="s">
        <v>1104</v>
      </c>
      <c r="H672" s="7" t="s">
        <v>183</v>
      </c>
      <c r="I672" s="21">
        <v>3</v>
      </c>
      <c r="J672" s="254">
        <v>208.43</v>
      </c>
      <c r="K672" s="9">
        <f>J672*$S$3</f>
        <v>273.04330000000004</v>
      </c>
      <c r="L672" s="254">
        <v>16.8</v>
      </c>
      <c r="M672" s="9">
        <f t="shared" si="46"/>
        <v>318.91000000000003</v>
      </c>
      <c r="N672" s="899">
        <v>0</v>
      </c>
      <c r="O672" s="900">
        <f t="shared" si="45"/>
        <v>3</v>
      </c>
      <c r="P672" s="901">
        <f t="shared" si="47"/>
        <v>956.73</v>
      </c>
      <c r="Q672" s="873"/>
      <c r="R672" s="873"/>
      <c r="S672" s="840"/>
      <c r="T672" s="853"/>
    </row>
    <row r="673" spans="1:20" s="344" customFormat="1" ht="25.5">
      <c r="A673" s="915"/>
      <c r="B673" s="919"/>
      <c r="C673" s="913"/>
      <c r="D673" s="49" t="s">
        <v>274</v>
      </c>
      <c r="E673" s="805">
        <f>'[3]Plan Tron'!B335</f>
        <v>2510</v>
      </c>
      <c r="F673" s="805" t="str">
        <f>'[3]Plan Tron'!C335</f>
        <v>SINAPI (INSUMO)</v>
      </c>
      <c r="G673" s="643" t="str">
        <f>'[3]Plan Tron'!D335</f>
        <v xml:space="preserve">RELE FOTOELETRICO INTERNO E EXTERNO BIVOLT 1000 W, DE CONECTOR, SEM BASE </v>
      </c>
      <c r="H673" s="805" t="str">
        <f>'[3]Plan Tron'!E335</f>
        <v>UN</v>
      </c>
      <c r="I673" s="21">
        <v>1</v>
      </c>
      <c r="J673" s="254">
        <v>21.44</v>
      </c>
      <c r="K673" s="254">
        <f>'[3]Plan Tron'!F335</f>
        <v>14.86</v>
      </c>
      <c r="L673" s="254">
        <v>16.8</v>
      </c>
      <c r="M673" s="9">
        <f t="shared" si="46"/>
        <v>17.36</v>
      </c>
      <c r="N673" s="899">
        <v>0</v>
      </c>
      <c r="O673" s="900">
        <f t="shared" si="45"/>
        <v>1</v>
      </c>
      <c r="P673" s="901">
        <f t="shared" si="47"/>
        <v>17.36</v>
      </c>
      <c r="Q673" s="874"/>
      <c r="R673" s="874"/>
      <c r="S673" s="841"/>
      <c r="T673" s="854"/>
    </row>
    <row r="674" spans="1:20" s="318" customFormat="1">
      <c r="A674" s="915"/>
      <c r="B674" s="919"/>
      <c r="C674" s="913"/>
      <c r="D674" s="239" t="s">
        <v>16</v>
      </c>
      <c r="E674" s="57"/>
      <c r="F674" s="50"/>
      <c r="G674" s="114" t="s">
        <v>1102</v>
      </c>
      <c r="H674" s="7"/>
      <c r="I674" s="21"/>
      <c r="J674" s="254"/>
      <c r="K674" s="254"/>
      <c r="L674" s="254"/>
      <c r="M674" s="9"/>
      <c r="N674" s="899"/>
      <c r="O674" s="900"/>
      <c r="P674" s="901"/>
      <c r="Q674" s="874"/>
      <c r="R674" s="874"/>
      <c r="S674" s="841"/>
      <c r="T674" s="854"/>
    </row>
    <row r="675" spans="1:20" s="610" customFormat="1">
      <c r="A675" s="915"/>
      <c r="B675" s="919"/>
      <c r="C675" s="913" t="s">
        <v>2455</v>
      </c>
      <c r="D675" s="606" t="s">
        <v>270</v>
      </c>
      <c r="E675" s="57" t="s">
        <v>1100</v>
      </c>
      <c r="F675" s="50"/>
      <c r="G675" s="114" t="s">
        <v>1101</v>
      </c>
      <c r="H675" s="7" t="s">
        <v>1078</v>
      </c>
      <c r="I675" s="21">
        <v>36</v>
      </c>
      <c r="J675" s="254">
        <v>38.85</v>
      </c>
      <c r="K675" s="9">
        <f t="shared" ref="K675:K680" si="48">J675*$S$3</f>
        <v>50.893500000000003</v>
      </c>
      <c r="L675" s="254">
        <v>16.8</v>
      </c>
      <c r="M675" s="9">
        <f t="shared" si="46"/>
        <v>59.44</v>
      </c>
      <c r="N675" s="899">
        <v>0</v>
      </c>
      <c r="O675" s="900">
        <f t="shared" ref="O675:O738" si="49">I675-N675</f>
        <v>36</v>
      </c>
      <c r="P675" s="901">
        <f t="shared" si="47"/>
        <v>2139.84</v>
      </c>
      <c r="Q675" s="873"/>
      <c r="R675" s="873"/>
      <c r="S675" s="840"/>
      <c r="T675" s="853"/>
    </row>
    <row r="676" spans="1:20" s="610" customFormat="1">
      <c r="A676" s="915"/>
      <c r="B676" s="919"/>
      <c r="C676" s="913" t="s">
        <v>2455</v>
      </c>
      <c r="D676" s="606" t="s">
        <v>369</v>
      </c>
      <c r="E676" s="57" t="s">
        <v>1098</v>
      </c>
      <c r="F676" s="50"/>
      <c r="G676" s="350" t="s">
        <v>1099</v>
      </c>
      <c r="H676" s="7" t="s">
        <v>246</v>
      </c>
      <c r="I676" s="21">
        <v>26</v>
      </c>
      <c r="J676" s="254">
        <v>2.2999999999999998</v>
      </c>
      <c r="K676" s="9">
        <f t="shared" si="48"/>
        <v>3.0129999999999999</v>
      </c>
      <c r="L676" s="254">
        <v>16.8</v>
      </c>
      <c r="M676" s="9">
        <f t="shared" si="46"/>
        <v>3.52</v>
      </c>
      <c r="N676" s="899">
        <v>0</v>
      </c>
      <c r="O676" s="900">
        <f t="shared" si="49"/>
        <v>26</v>
      </c>
      <c r="P676" s="901">
        <f t="shared" si="47"/>
        <v>91.52</v>
      </c>
      <c r="Q676" s="873"/>
      <c r="R676" s="873"/>
      <c r="S676" s="840"/>
      <c r="T676" s="853"/>
    </row>
    <row r="677" spans="1:20" s="610" customFormat="1">
      <c r="A677" s="915"/>
      <c r="B677" s="919"/>
      <c r="C677" s="913" t="s">
        <v>2455</v>
      </c>
      <c r="D677" s="606" t="s">
        <v>367</v>
      </c>
      <c r="E677" s="57" t="s">
        <v>1096</v>
      </c>
      <c r="F677" s="50"/>
      <c r="G677" s="350" t="s">
        <v>1097</v>
      </c>
      <c r="H677" s="7" t="s">
        <v>246</v>
      </c>
      <c r="I677" s="21">
        <v>35</v>
      </c>
      <c r="J677" s="254">
        <v>0.9</v>
      </c>
      <c r="K677" s="9">
        <f t="shared" si="48"/>
        <v>1.179</v>
      </c>
      <c r="L677" s="254">
        <v>16.8</v>
      </c>
      <c r="M677" s="9">
        <f t="shared" si="46"/>
        <v>1.38</v>
      </c>
      <c r="N677" s="899">
        <v>0</v>
      </c>
      <c r="O677" s="900">
        <f t="shared" si="49"/>
        <v>35</v>
      </c>
      <c r="P677" s="901">
        <f t="shared" si="47"/>
        <v>48.3</v>
      </c>
      <c r="Q677" s="873"/>
      <c r="R677" s="873"/>
      <c r="S677" s="840"/>
      <c r="T677" s="853"/>
    </row>
    <row r="678" spans="1:20" s="610" customFormat="1">
      <c r="A678" s="915"/>
      <c r="B678" s="919"/>
      <c r="C678" s="913" t="s">
        <v>2455</v>
      </c>
      <c r="D678" s="606" t="s">
        <v>365</v>
      </c>
      <c r="E678" s="57" t="s">
        <v>1094</v>
      </c>
      <c r="F678" s="50"/>
      <c r="G678" s="350" t="s">
        <v>1095</v>
      </c>
      <c r="H678" s="606" t="s">
        <v>246</v>
      </c>
      <c r="I678" s="21">
        <v>5</v>
      </c>
      <c r="J678" s="254">
        <v>1.75</v>
      </c>
      <c r="K678" s="9">
        <f t="shared" si="48"/>
        <v>2.2925</v>
      </c>
      <c r="L678" s="254">
        <v>16.8</v>
      </c>
      <c r="M678" s="9">
        <f t="shared" si="46"/>
        <v>2.68</v>
      </c>
      <c r="N678" s="899">
        <v>0</v>
      </c>
      <c r="O678" s="900">
        <f t="shared" si="49"/>
        <v>5</v>
      </c>
      <c r="P678" s="901">
        <f t="shared" si="47"/>
        <v>13.4</v>
      </c>
      <c r="Q678" s="873"/>
      <c r="R678" s="873"/>
      <c r="S678" s="840"/>
      <c r="T678" s="853"/>
    </row>
    <row r="679" spans="1:20" s="610" customFormat="1">
      <c r="A679" s="915"/>
      <c r="B679" s="919"/>
      <c r="C679" s="913" t="s">
        <v>2455</v>
      </c>
      <c r="D679" s="606" t="s">
        <v>1045</v>
      </c>
      <c r="E679" s="57" t="s">
        <v>1092</v>
      </c>
      <c r="F679" s="50"/>
      <c r="G679" s="350" t="s">
        <v>1093</v>
      </c>
      <c r="H679" s="257" t="s">
        <v>246</v>
      </c>
      <c r="I679" s="21">
        <v>72</v>
      </c>
      <c r="J679" s="254">
        <v>0.96</v>
      </c>
      <c r="K679" s="9">
        <f t="shared" si="48"/>
        <v>1.2576000000000001</v>
      </c>
      <c r="L679" s="254">
        <v>16.8</v>
      </c>
      <c r="M679" s="9">
        <f t="shared" si="46"/>
        <v>1.47</v>
      </c>
      <c r="N679" s="899">
        <v>0</v>
      </c>
      <c r="O679" s="900">
        <f t="shared" si="49"/>
        <v>72</v>
      </c>
      <c r="P679" s="901">
        <f t="shared" si="47"/>
        <v>105.84</v>
      </c>
      <c r="Q679" s="873"/>
      <c r="R679" s="873"/>
      <c r="S679" s="840"/>
      <c r="T679" s="853"/>
    </row>
    <row r="680" spans="1:20" s="610" customFormat="1">
      <c r="A680" s="915"/>
      <c r="B680" s="919"/>
      <c r="C680" s="913" t="s">
        <v>2455</v>
      </c>
      <c r="D680" s="606" t="s">
        <v>1043</v>
      </c>
      <c r="E680" s="57" t="s">
        <v>1066</v>
      </c>
      <c r="F680" s="50"/>
      <c r="G680" s="114" t="s">
        <v>1091</v>
      </c>
      <c r="H680" s="257" t="s">
        <v>246</v>
      </c>
      <c r="I680" s="21">
        <v>2</v>
      </c>
      <c r="J680" s="254">
        <v>3.12</v>
      </c>
      <c r="K680" s="9">
        <f t="shared" si="48"/>
        <v>4.0872000000000002</v>
      </c>
      <c r="L680" s="254">
        <v>16.8</v>
      </c>
      <c r="M680" s="9">
        <f t="shared" si="46"/>
        <v>4.7699999999999996</v>
      </c>
      <c r="N680" s="899">
        <v>0</v>
      </c>
      <c r="O680" s="900">
        <f t="shared" si="49"/>
        <v>2</v>
      </c>
      <c r="P680" s="901">
        <f t="shared" si="47"/>
        <v>9.5399999999999991</v>
      </c>
      <c r="Q680" s="873"/>
      <c r="R680" s="873"/>
      <c r="S680" s="840"/>
      <c r="T680" s="853"/>
    </row>
    <row r="681" spans="1:20" s="318" customFormat="1">
      <c r="A681" s="915"/>
      <c r="B681" s="919"/>
      <c r="C681" s="913"/>
      <c r="D681" s="606"/>
      <c r="E681" s="57"/>
      <c r="F681" s="50"/>
      <c r="G681" s="114"/>
      <c r="H681" s="257"/>
      <c r="I681" s="21"/>
      <c r="J681" s="254"/>
      <c r="K681" s="254"/>
      <c r="L681" s="254"/>
      <c r="M681" s="9"/>
      <c r="N681" s="899"/>
      <c r="O681" s="900"/>
      <c r="P681" s="901"/>
      <c r="Q681" s="874"/>
      <c r="R681" s="874"/>
      <c r="S681" s="841"/>
      <c r="T681" s="854"/>
    </row>
    <row r="682" spans="1:20" s="318" customFormat="1">
      <c r="A682" s="915"/>
      <c r="B682" s="919"/>
      <c r="C682" s="913"/>
      <c r="D682" s="606"/>
      <c r="E682" s="57"/>
      <c r="F682" s="50"/>
      <c r="G682" s="114"/>
      <c r="H682" s="257"/>
      <c r="I682" s="21"/>
      <c r="J682" s="254"/>
      <c r="K682" s="254"/>
      <c r="L682" s="254"/>
      <c r="M682" s="9"/>
      <c r="N682" s="899"/>
      <c r="O682" s="900"/>
      <c r="P682" s="901"/>
      <c r="Q682" s="874"/>
      <c r="R682" s="874"/>
      <c r="S682" s="841"/>
      <c r="T682" s="854"/>
    </row>
    <row r="683" spans="1:20" s="610" customFormat="1">
      <c r="A683" s="915"/>
      <c r="B683" s="919"/>
      <c r="C683" s="913" t="s">
        <v>2455</v>
      </c>
      <c r="D683" s="606" t="s">
        <v>1090</v>
      </c>
      <c r="E683" s="57" t="s">
        <v>1088</v>
      </c>
      <c r="F683" s="50"/>
      <c r="G683" s="114" t="s">
        <v>1089</v>
      </c>
      <c r="H683" s="257" t="s">
        <v>246</v>
      </c>
      <c r="I683" s="21">
        <v>47</v>
      </c>
      <c r="J683" s="254">
        <v>1.25</v>
      </c>
      <c r="K683" s="9">
        <f>J683*$S$3</f>
        <v>1.6375000000000002</v>
      </c>
      <c r="L683" s="254">
        <v>16.8</v>
      </c>
      <c r="M683" s="9">
        <f t="shared" si="46"/>
        <v>1.91</v>
      </c>
      <c r="N683" s="899">
        <v>0</v>
      </c>
      <c r="O683" s="900">
        <f t="shared" si="49"/>
        <v>47</v>
      </c>
      <c r="P683" s="901">
        <f t="shared" si="47"/>
        <v>89.77</v>
      </c>
      <c r="Q683" s="873"/>
      <c r="R683" s="873"/>
      <c r="S683" s="840"/>
      <c r="T683" s="853"/>
    </row>
    <row r="684" spans="1:20" s="610" customFormat="1">
      <c r="A684" s="915"/>
      <c r="B684" s="919"/>
      <c r="C684" s="913" t="s">
        <v>2455</v>
      </c>
      <c r="D684" s="606" t="s">
        <v>1087</v>
      </c>
      <c r="E684" s="57" t="s">
        <v>1085</v>
      </c>
      <c r="F684" s="50"/>
      <c r="G684" s="12" t="s">
        <v>1086</v>
      </c>
      <c r="H684" s="257" t="s">
        <v>246</v>
      </c>
      <c r="I684" s="21">
        <v>80</v>
      </c>
      <c r="J684" s="254">
        <v>2</v>
      </c>
      <c r="K684" s="9">
        <f>J684*$S$3</f>
        <v>2.62</v>
      </c>
      <c r="L684" s="254">
        <v>16.8</v>
      </c>
      <c r="M684" s="9">
        <f t="shared" si="46"/>
        <v>3.06</v>
      </c>
      <c r="N684" s="899">
        <v>0</v>
      </c>
      <c r="O684" s="900">
        <f t="shared" si="49"/>
        <v>80</v>
      </c>
      <c r="P684" s="901">
        <f t="shared" si="47"/>
        <v>244.8</v>
      </c>
      <c r="Q684" s="873"/>
      <c r="R684" s="873"/>
      <c r="S684" s="840"/>
      <c r="T684" s="853"/>
    </row>
    <row r="685" spans="1:20" s="610" customFormat="1">
      <c r="A685" s="915"/>
      <c r="B685" s="919"/>
      <c r="C685" s="913" t="s">
        <v>2455</v>
      </c>
      <c r="D685" s="606" t="s">
        <v>1084</v>
      </c>
      <c r="E685" s="57" t="s">
        <v>1082</v>
      </c>
      <c r="F685" s="50"/>
      <c r="G685" s="12" t="s">
        <v>1083</v>
      </c>
      <c r="H685" s="257" t="s">
        <v>1078</v>
      </c>
      <c r="I685" s="21">
        <v>20</v>
      </c>
      <c r="J685" s="254">
        <v>5.63</v>
      </c>
      <c r="K685" s="9">
        <f>J685*$S$3</f>
        <v>7.3753000000000002</v>
      </c>
      <c r="L685" s="254">
        <v>16.8</v>
      </c>
      <c r="M685" s="9">
        <f t="shared" si="46"/>
        <v>8.61</v>
      </c>
      <c r="N685" s="899">
        <v>0</v>
      </c>
      <c r="O685" s="900">
        <f t="shared" si="49"/>
        <v>20</v>
      </c>
      <c r="P685" s="901">
        <f t="shared" si="47"/>
        <v>172.2</v>
      </c>
      <c r="Q685" s="873"/>
      <c r="R685" s="873"/>
      <c r="S685" s="840"/>
      <c r="T685" s="853"/>
    </row>
    <row r="686" spans="1:20" s="318" customFormat="1">
      <c r="A686" s="915"/>
      <c r="B686" s="919"/>
      <c r="C686" s="913"/>
      <c r="D686" s="239" t="s">
        <v>15</v>
      </c>
      <c r="E686" s="57"/>
      <c r="F686" s="50"/>
      <c r="G686" s="12" t="s">
        <v>1081</v>
      </c>
      <c r="H686" s="257"/>
      <c r="I686" s="21"/>
      <c r="J686" s="254"/>
      <c r="K686" s="254"/>
      <c r="L686" s="254"/>
      <c r="M686" s="9"/>
      <c r="N686" s="899"/>
      <c r="O686" s="900"/>
      <c r="P686" s="901"/>
      <c r="Q686" s="874"/>
      <c r="R686" s="874"/>
      <c r="S686" s="841"/>
      <c r="T686" s="854"/>
    </row>
    <row r="687" spans="1:20" s="610" customFormat="1" ht="25.5">
      <c r="A687" s="915"/>
      <c r="B687" s="919"/>
      <c r="C687" s="913" t="s">
        <v>2455</v>
      </c>
      <c r="D687" s="239" t="s">
        <v>249</v>
      </c>
      <c r="E687" s="57" t="s">
        <v>1079</v>
      </c>
      <c r="F687" s="50"/>
      <c r="G687" s="12" t="s">
        <v>1080</v>
      </c>
      <c r="H687" s="257" t="s">
        <v>1078</v>
      </c>
      <c r="I687" s="21">
        <v>6</v>
      </c>
      <c r="J687" s="254">
        <v>235.4</v>
      </c>
      <c r="K687" s="9">
        <f t="shared" ref="K687:K693" si="50">J687*$S$3</f>
        <v>308.37400000000002</v>
      </c>
      <c r="L687" s="254">
        <v>16.8</v>
      </c>
      <c r="M687" s="9">
        <f t="shared" si="46"/>
        <v>360.18</v>
      </c>
      <c r="N687" s="899">
        <v>0</v>
      </c>
      <c r="O687" s="900">
        <f t="shared" si="49"/>
        <v>6</v>
      </c>
      <c r="P687" s="901">
        <f t="shared" si="47"/>
        <v>2161.08</v>
      </c>
      <c r="Q687" s="873"/>
      <c r="R687" s="873"/>
      <c r="S687" s="840"/>
      <c r="T687" s="853"/>
    </row>
    <row r="688" spans="1:20" s="610" customFormat="1" ht="25.5">
      <c r="A688" s="915"/>
      <c r="B688" s="919"/>
      <c r="C688" s="913" t="s">
        <v>2455</v>
      </c>
      <c r="D688" s="239" t="s">
        <v>265</v>
      </c>
      <c r="E688" s="57" t="s">
        <v>1076</v>
      </c>
      <c r="F688" s="50"/>
      <c r="G688" s="113" t="s">
        <v>1077</v>
      </c>
      <c r="H688" s="257" t="s">
        <v>246</v>
      </c>
      <c r="I688" s="21">
        <v>3</v>
      </c>
      <c r="J688" s="254">
        <v>147.56</v>
      </c>
      <c r="K688" s="9">
        <f t="shared" si="50"/>
        <v>193.30360000000002</v>
      </c>
      <c r="L688" s="254">
        <v>16.8</v>
      </c>
      <c r="M688" s="9">
        <f t="shared" si="46"/>
        <v>225.78</v>
      </c>
      <c r="N688" s="899">
        <v>0</v>
      </c>
      <c r="O688" s="900">
        <f t="shared" si="49"/>
        <v>3</v>
      </c>
      <c r="P688" s="901">
        <f t="shared" si="47"/>
        <v>677.34</v>
      </c>
      <c r="Q688" s="873"/>
      <c r="R688" s="873"/>
      <c r="S688" s="840"/>
      <c r="T688" s="853"/>
    </row>
    <row r="689" spans="1:20" s="610" customFormat="1" ht="25.5">
      <c r="A689" s="915"/>
      <c r="B689" s="919"/>
      <c r="C689" s="913" t="s">
        <v>2455</v>
      </c>
      <c r="D689" s="239" t="s">
        <v>263</v>
      </c>
      <c r="E689" s="57" t="s">
        <v>1074</v>
      </c>
      <c r="F689" s="50"/>
      <c r="G689" s="114" t="s">
        <v>1075</v>
      </c>
      <c r="H689" s="257" t="s">
        <v>246</v>
      </c>
      <c r="I689" s="21">
        <v>24</v>
      </c>
      <c r="J689" s="254">
        <v>5.0999999999999996</v>
      </c>
      <c r="K689" s="9">
        <f t="shared" si="50"/>
        <v>6.681</v>
      </c>
      <c r="L689" s="254">
        <v>16.8</v>
      </c>
      <c r="M689" s="9">
        <f t="shared" si="46"/>
        <v>7.8</v>
      </c>
      <c r="N689" s="899">
        <v>0</v>
      </c>
      <c r="O689" s="900">
        <f t="shared" si="49"/>
        <v>24</v>
      </c>
      <c r="P689" s="901">
        <f t="shared" si="47"/>
        <v>187.2</v>
      </c>
      <c r="Q689" s="873"/>
      <c r="R689" s="873"/>
      <c r="S689" s="840"/>
      <c r="T689" s="853"/>
    </row>
    <row r="690" spans="1:20" s="610" customFormat="1" ht="25.5">
      <c r="A690" s="915"/>
      <c r="B690" s="919"/>
      <c r="C690" s="913" t="s">
        <v>2455</v>
      </c>
      <c r="D690" s="239" t="s">
        <v>358</v>
      </c>
      <c r="E690" s="57" t="s">
        <v>1072</v>
      </c>
      <c r="F690" s="50"/>
      <c r="G690" s="12" t="s">
        <v>1073</v>
      </c>
      <c r="H690" s="257" t="s">
        <v>246</v>
      </c>
      <c r="I690" s="21">
        <v>1</v>
      </c>
      <c r="J690" s="254">
        <v>193</v>
      </c>
      <c r="K690" s="9">
        <f t="shared" si="50"/>
        <v>252.83</v>
      </c>
      <c r="L690" s="254">
        <v>16.8</v>
      </c>
      <c r="M690" s="9">
        <f t="shared" si="46"/>
        <v>295.31</v>
      </c>
      <c r="N690" s="899">
        <v>0</v>
      </c>
      <c r="O690" s="900">
        <f t="shared" si="49"/>
        <v>1</v>
      </c>
      <c r="P690" s="901">
        <f t="shared" si="47"/>
        <v>295.31</v>
      </c>
      <c r="Q690" s="873"/>
      <c r="R690" s="873"/>
      <c r="S690" s="840"/>
      <c r="T690" s="853"/>
    </row>
    <row r="691" spans="1:20" s="610" customFormat="1" ht="25.5">
      <c r="A691" s="915"/>
      <c r="B691" s="919"/>
      <c r="C691" s="913" t="s">
        <v>2455</v>
      </c>
      <c r="D691" s="239" t="s">
        <v>356</v>
      </c>
      <c r="E691" s="57" t="s">
        <v>1070</v>
      </c>
      <c r="F691" s="50"/>
      <c r="G691" s="12" t="s">
        <v>1071</v>
      </c>
      <c r="H691" s="257" t="s">
        <v>246</v>
      </c>
      <c r="I691" s="21">
        <v>2</v>
      </c>
      <c r="J691" s="254">
        <v>33.85</v>
      </c>
      <c r="K691" s="9">
        <f t="shared" si="50"/>
        <v>44.343500000000006</v>
      </c>
      <c r="L691" s="254">
        <v>16.8</v>
      </c>
      <c r="M691" s="9">
        <f t="shared" si="46"/>
        <v>51.79</v>
      </c>
      <c r="N691" s="899">
        <v>0</v>
      </c>
      <c r="O691" s="900">
        <f t="shared" si="49"/>
        <v>2</v>
      </c>
      <c r="P691" s="901">
        <f t="shared" si="47"/>
        <v>103.58</v>
      </c>
      <c r="Q691" s="873"/>
      <c r="R691" s="873"/>
      <c r="S691" s="840"/>
      <c r="T691" s="853"/>
    </row>
    <row r="692" spans="1:20" s="610" customFormat="1">
      <c r="A692" s="915"/>
      <c r="B692" s="919"/>
      <c r="C692" s="913" t="s">
        <v>2455</v>
      </c>
      <c r="D692" s="239" t="s">
        <v>354</v>
      </c>
      <c r="E692" s="57" t="s">
        <v>1068</v>
      </c>
      <c r="F692" s="50"/>
      <c r="G692" s="12" t="s">
        <v>1069</v>
      </c>
      <c r="H692" s="606" t="s">
        <v>246</v>
      </c>
      <c r="I692" s="21">
        <v>12</v>
      </c>
      <c r="J692" s="254">
        <v>35.020000000000003</v>
      </c>
      <c r="K692" s="9">
        <f t="shared" si="50"/>
        <v>45.876200000000004</v>
      </c>
      <c r="L692" s="254">
        <v>16.8</v>
      </c>
      <c r="M692" s="9">
        <f t="shared" si="46"/>
        <v>53.58</v>
      </c>
      <c r="N692" s="899">
        <v>0</v>
      </c>
      <c r="O692" s="900">
        <f t="shared" si="49"/>
        <v>12</v>
      </c>
      <c r="P692" s="901">
        <f t="shared" si="47"/>
        <v>642.96</v>
      </c>
      <c r="Q692" s="873"/>
      <c r="R692" s="873"/>
      <c r="S692" s="840"/>
      <c r="T692" s="853"/>
    </row>
    <row r="693" spans="1:20" s="610" customFormat="1">
      <c r="A693" s="915"/>
      <c r="B693" s="919"/>
      <c r="C693" s="913" t="s">
        <v>2455</v>
      </c>
      <c r="D693" s="239" t="s">
        <v>352</v>
      </c>
      <c r="E693" s="57" t="s">
        <v>1066</v>
      </c>
      <c r="F693" s="50"/>
      <c r="G693" s="12" t="s">
        <v>1067</v>
      </c>
      <c r="H693" s="606" t="s">
        <v>246</v>
      </c>
      <c r="I693" s="21">
        <v>1</v>
      </c>
      <c r="J693" s="254">
        <v>3.12</v>
      </c>
      <c r="K693" s="9">
        <f t="shared" si="50"/>
        <v>4.0872000000000002</v>
      </c>
      <c r="L693" s="254">
        <v>16.8</v>
      </c>
      <c r="M693" s="9">
        <f t="shared" si="46"/>
        <v>4.7699999999999996</v>
      </c>
      <c r="N693" s="899">
        <v>0</v>
      </c>
      <c r="O693" s="900">
        <f t="shared" si="49"/>
        <v>1</v>
      </c>
      <c r="P693" s="901">
        <f t="shared" si="47"/>
        <v>4.7699999999999996</v>
      </c>
      <c r="Q693" s="873"/>
      <c r="R693" s="873"/>
      <c r="S693" s="840"/>
      <c r="T693" s="853"/>
    </row>
    <row r="694" spans="1:20" s="318" customFormat="1">
      <c r="A694" s="915"/>
      <c r="B694" s="919"/>
      <c r="C694" s="913"/>
      <c r="D694" s="49" t="s">
        <v>14</v>
      </c>
      <c r="E694" s="57"/>
      <c r="F694" s="50"/>
      <c r="G694" s="12" t="s">
        <v>1065</v>
      </c>
      <c r="H694" s="606"/>
      <c r="I694" s="21"/>
      <c r="J694" s="254"/>
      <c r="K694" s="254"/>
      <c r="L694" s="254"/>
      <c r="M694" s="9"/>
      <c r="N694" s="899"/>
      <c r="O694" s="900"/>
      <c r="P694" s="901"/>
      <c r="Q694" s="874"/>
      <c r="R694" s="874"/>
      <c r="S694" s="841"/>
      <c r="T694" s="854"/>
    </row>
    <row r="695" spans="1:20" s="610" customFormat="1">
      <c r="A695" s="915"/>
      <c r="B695" s="919"/>
      <c r="C695" s="913" t="s">
        <v>2455</v>
      </c>
      <c r="D695" s="49" t="s">
        <v>181</v>
      </c>
      <c r="E695" s="57" t="s">
        <v>1063</v>
      </c>
      <c r="F695" s="50"/>
      <c r="G695" s="12" t="s">
        <v>1064</v>
      </c>
      <c r="H695" s="606" t="s">
        <v>110</v>
      </c>
      <c r="I695" s="21">
        <v>210</v>
      </c>
      <c r="J695" s="254">
        <v>6.2</v>
      </c>
      <c r="K695" s="9">
        <f>J695*$S$3</f>
        <v>8.1219999999999999</v>
      </c>
      <c r="L695" s="254">
        <v>16.8</v>
      </c>
      <c r="M695" s="9">
        <f t="shared" si="46"/>
        <v>9.49</v>
      </c>
      <c r="N695" s="899">
        <v>0</v>
      </c>
      <c r="O695" s="900">
        <f t="shared" si="49"/>
        <v>210</v>
      </c>
      <c r="P695" s="901">
        <f t="shared" si="47"/>
        <v>1992.9</v>
      </c>
      <c r="Q695" s="873"/>
      <c r="R695" s="873"/>
      <c r="S695" s="840"/>
      <c r="T695" s="853"/>
    </row>
    <row r="696" spans="1:20" s="344" customFormat="1" ht="25.5">
      <c r="A696" s="915"/>
      <c r="B696" s="919"/>
      <c r="C696" s="913"/>
      <c r="D696" s="49" t="s">
        <v>180</v>
      </c>
      <c r="E696" s="805">
        <f>'[3]Plan Tron'!B336</f>
        <v>7572</v>
      </c>
      <c r="F696" s="805" t="str">
        <f>'[3]Plan Tron'!C336</f>
        <v>SINAPI (INSUMO)</v>
      </c>
      <c r="G696" s="643" t="str">
        <f>'[3]Plan Tron'!D336</f>
        <v>SUPORTE ISOLADOR REFORCADO DIAMETRO NOMINAL 5/16", COM ROSCA SOBERBA E BUCHA</v>
      </c>
      <c r="H696" s="805" t="str">
        <f>'[3]Plan Tron'!E336</f>
        <v>UN</v>
      </c>
      <c r="I696" s="21">
        <v>66</v>
      </c>
      <c r="J696" s="254">
        <v>5.18</v>
      </c>
      <c r="K696" s="254">
        <f>'[3]Plan Tron'!F336</f>
        <v>5.37</v>
      </c>
      <c r="L696" s="254">
        <v>16.8</v>
      </c>
      <c r="M696" s="9">
        <f t="shared" si="46"/>
        <v>6.27</v>
      </c>
      <c r="N696" s="899">
        <v>0</v>
      </c>
      <c r="O696" s="900">
        <f t="shared" si="49"/>
        <v>66</v>
      </c>
      <c r="P696" s="901">
        <f t="shared" si="47"/>
        <v>413.82</v>
      </c>
      <c r="Q696" s="874"/>
      <c r="R696" s="874"/>
      <c r="S696" s="841"/>
      <c r="T696" s="854"/>
    </row>
    <row r="697" spans="1:20" s="344" customFormat="1" ht="25.5">
      <c r="A697" s="915"/>
      <c r="B697" s="919"/>
      <c r="C697" s="913"/>
      <c r="D697" s="49" t="s">
        <v>179</v>
      </c>
      <c r="E697" s="805">
        <f>'[3]Plan Tron'!B337</f>
        <v>3396</v>
      </c>
      <c r="F697" s="805" t="str">
        <f>'[3]Plan Tron'!C337</f>
        <v>SINAPI (INSUMO)</v>
      </c>
      <c r="G697" s="643" t="str">
        <f>'[3]Plan Tron'!D337</f>
        <v xml:space="preserve">SUPORTE ISOLADOR SIMPLES DIAMETRO NOMINAL 5/16", COM ROSCA SOBERBA E BUCHA </v>
      </c>
      <c r="H697" s="805" t="str">
        <f>'[3]Plan Tron'!E337</f>
        <v>UN</v>
      </c>
      <c r="I697" s="21">
        <v>137</v>
      </c>
      <c r="J697" s="254">
        <v>2.19</v>
      </c>
      <c r="K697" s="254">
        <f>'[3]Plan Tron'!F337</f>
        <v>3.8</v>
      </c>
      <c r="L697" s="254">
        <v>16.8</v>
      </c>
      <c r="M697" s="9">
        <f t="shared" si="46"/>
        <v>4.4400000000000004</v>
      </c>
      <c r="N697" s="899">
        <v>0</v>
      </c>
      <c r="O697" s="900">
        <f t="shared" si="49"/>
        <v>137</v>
      </c>
      <c r="P697" s="901">
        <f t="shared" si="47"/>
        <v>608.28</v>
      </c>
      <c r="Q697" s="874"/>
      <c r="R697" s="874"/>
      <c r="S697" s="841"/>
      <c r="T697" s="854"/>
    </row>
    <row r="698" spans="1:20" s="344" customFormat="1" ht="25.5">
      <c r="A698" s="915"/>
      <c r="B698" s="919"/>
      <c r="C698" s="913"/>
      <c r="D698" s="49" t="s">
        <v>178</v>
      </c>
      <c r="E698" s="805">
        <f>'[3]Plan Tron'!B338</f>
        <v>11864</v>
      </c>
      <c r="F698" s="805" t="str">
        <f>'[3]Plan Tron'!C338</f>
        <v>SINAPI (INSUMO)</v>
      </c>
      <c r="G698" s="643" t="str">
        <f>'[3]Plan Tron'!D338</f>
        <v xml:space="preserve">CONECTOR METALICO TIPO PARAFUSO FENDIDO (SPLIT BOLT), PARA CABOS ATE 95 MM2 </v>
      </c>
      <c r="H698" s="805" t="str">
        <f>'[3]Plan Tron'!E338</f>
        <v>UN</v>
      </c>
      <c r="I698" s="21">
        <v>51</v>
      </c>
      <c r="J698" s="254">
        <v>9.8699999999999992</v>
      </c>
      <c r="K698" s="254">
        <f>'[3]Plan Tron'!F338</f>
        <v>12.31</v>
      </c>
      <c r="L698" s="254">
        <v>16.8</v>
      </c>
      <c r="M698" s="9">
        <f t="shared" si="46"/>
        <v>14.38</v>
      </c>
      <c r="N698" s="899">
        <v>0</v>
      </c>
      <c r="O698" s="900">
        <f t="shared" si="49"/>
        <v>51</v>
      </c>
      <c r="P698" s="901">
        <f t="shared" si="47"/>
        <v>733.38</v>
      </c>
      <c r="Q698" s="874"/>
      <c r="R698" s="874"/>
      <c r="S698" s="841"/>
      <c r="T698" s="854"/>
    </row>
    <row r="699" spans="1:20" s="610" customFormat="1">
      <c r="A699" s="915"/>
      <c r="B699" s="919"/>
      <c r="C699" s="913" t="s">
        <v>2455</v>
      </c>
      <c r="D699" s="49" t="s">
        <v>177</v>
      </c>
      <c r="E699" s="57" t="s">
        <v>268</v>
      </c>
      <c r="F699" s="50"/>
      <c r="G699" s="12" t="s">
        <v>1062</v>
      </c>
      <c r="H699" s="18" t="s">
        <v>158</v>
      </c>
      <c r="I699" s="21">
        <v>8</v>
      </c>
      <c r="J699" s="254">
        <v>29.48</v>
      </c>
      <c r="K699" s="9">
        <f>J699*$S$3</f>
        <v>38.6188</v>
      </c>
      <c r="L699" s="254">
        <v>16.8</v>
      </c>
      <c r="M699" s="9">
        <f t="shared" si="46"/>
        <v>45.11</v>
      </c>
      <c r="N699" s="899">
        <v>0</v>
      </c>
      <c r="O699" s="900">
        <f t="shared" si="49"/>
        <v>8</v>
      </c>
      <c r="P699" s="901">
        <f t="shared" si="47"/>
        <v>360.88</v>
      </c>
      <c r="Q699" s="873"/>
      <c r="R699" s="873"/>
      <c r="S699" s="840"/>
      <c r="T699" s="853"/>
    </row>
    <row r="700" spans="1:20" s="837" customFormat="1" ht="25.5">
      <c r="A700" s="915"/>
      <c r="B700" s="919"/>
      <c r="C700" s="913" t="s">
        <v>2455</v>
      </c>
      <c r="D700" s="49" t="s">
        <v>176</v>
      </c>
      <c r="E700" s="57" t="s">
        <v>193</v>
      </c>
      <c r="F700" s="50"/>
      <c r="G700" s="12" t="s">
        <v>194</v>
      </c>
      <c r="H700" s="18" t="s">
        <v>158</v>
      </c>
      <c r="I700" s="21">
        <v>1</v>
      </c>
      <c r="J700" s="254">
        <v>180</v>
      </c>
      <c r="K700" s="9">
        <f>J700*$S$3</f>
        <v>235.8</v>
      </c>
      <c r="L700" s="254">
        <v>16.8</v>
      </c>
      <c r="M700" s="9">
        <f t="shared" si="46"/>
        <v>275.41000000000003</v>
      </c>
      <c r="N700" s="899">
        <v>0</v>
      </c>
      <c r="O700" s="900">
        <f t="shared" si="49"/>
        <v>1</v>
      </c>
      <c r="P700" s="901">
        <f t="shared" si="47"/>
        <v>275.41000000000003</v>
      </c>
      <c r="Q700" s="877"/>
      <c r="R700" s="877"/>
      <c r="S700" s="845"/>
      <c r="T700" s="858"/>
    </row>
    <row r="701" spans="1:20" s="610" customFormat="1">
      <c r="A701" s="915"/>
      <c r="B701" s="919"/>
      <c r="C701" s="913" t="s">
        <v>2455</v>
      </c>
      <c r="D701" s="49" t="s">
        <v>175</v>
      </c>
      <c r="E701" s="57" t="s">
        <v>190</v>
      </c>
      <c r="F701" s="50"/>
      <c r="G701" s="12" t="s">
        <v>191</v>
      </c>
      <c r="H701" s="7" t="s">
        <v>158</v>
      </c>
      <c r="I701" s="21">
        <v>24</v>
      </c>
      <c r="J701" s="254">
        <v>17.5</v>
      </c>
      <c r="K701" s="9">
        <f>J701*$S$3</f>
        <v>22.925000000000001</v>
      </c>
      <c r="L701" s="254">
        <v>16.8</v>
      </c>
      <c r="M701" s="9">
        <f t="shared" si="46"/>
        <v>26.78</v>
      </c>
      <c r="N701" s="899">
        <v>0</v>
      </c>
      <c r="O701" s="900">
        <f t="shared" si="49"/>
        <v>24</v>
      </c>
      <c r="P701" s="901">
        <f t="shared" si="47"/>
        <v>642.72</v>
      </c>
      <c r="Q701" s="873"/>
      <c r="R701" s="873"/>
      <c r="S701" s="840"/>
      <c r="T701" s="853"/>
    </row>
    <row r="702" spans="1:20" s="610" customFormat="1">
      <c r="A702" s="915"/>
      <c r="B702" s="919"/>
      <c r="C702" s="913" t="s">
        <v>2455</v>
      </c>
      <c r="D702" s="49" t="s">
        <v>174</v>
      </c>
      <c r="E702" s="57" t="s">
        <v>1060</v>
      </c>
      <c r="F702" s="50"/>
      <c r="G702" s="12" t="s">
        <v>1061</v>
      </c>
      <c r="H702" s="18" t="s">
        <v>158</v>
      </c>
      <c r="I702" s="21">
        <v>8</v>
      </c>
      <c r="J702" s="254">
        <v>24.82</v>
      </c>
      <c r="K702" s="9">
        <f>J702*$S$3</f>
        <v>32.514200000000002</v>
      </c>
      <c r="L702" s="254">
        <v>16.8</v>
      </c>
      <c r="M702" s="9">
        <f t="shared" si="46"/>
        <v>37.979999999999997</v>
      </c>
      <c r="N702" s="899">
        <v>0</v>
      </c>
      <c r="O702" s="900">
        <f t="shared" si="49"/>
        <v>8</v>
      </c>
      <c r="P702" s="901">
        <f t="shared" si="47"/>
        <v>303.83999999999997</v>
      </c>
      <c r="Q702" s="873"/>
      <c r="R702" s="873"/>
      <c r="S702" s="840"/>
      <c r="T702" s="853"/>
    </row>
    <row r="703" spans="1:20" s="610" customFormat="1">
      <c r="A703" s="915"/>
      <c r="B703" s="919"/>
      <c r="C703" s="913" t="s">
        <v>2455</v>
      </c>
      <c r="D703" s="49" t="s">
        <v>173</v>
      </c>
      <c r="E703" s="57" t="s">
        <v>1058</v>
      </c>
      <c r="F703" s="50"/>
      <c r="G703" s="12" t="s">
        <v>1059</v>
      </c>
      <c r="H703" s="7" t="s">
        <v>158</v>
      </c>
      <c r="I703" s="21">
        <v>8</v>
      </c>
      <c r="J703" s="254">
        <v>10.6</v>
      </c>
      <c r="K703" s="9">
        <f>J703*$S$3</f>
        <v>13.885999999999999</v>
      </c>
      <c r="L703" s="254">
        <v>16.8</v>
      </c>
      <c r="M703" s="9">
        <f t="shared" si="46"/>
        <v>16.22</v>
      </c>
      <c r="N703" s="899">
        <v>0</v>
      </c>
      <c r="O703" s="900">
        <f t="shared" si="49"/>
        <v>8</v>
      </c>
      <c r="P703" s="901">
        <f t="shared" si="47"/>
        <v>129.76</v>
      </c>
      <c r="Q703" s="873"/>
      <c r="R703" s="873"/>
      <c r="S703" s="840"/>
      <c r="T703" s="853"/>
    </row>
    <row r="704" spans="1:20" s="318" customFormat="1">
      <c r="A704" s="915"/>
      <c r="B704" s="919"/>
      <c r="C704" s="913"/>
      <c r="D704" s="49"/>
      <c r="E704" s="57"/>
      <c r="F704" s="50"/>
      <c r="G704" s="12"/>
      <c r="H704" s="7"/>
      <c r="I704" s="21"/>
      <c r="J704" s="254"/>
      <c r="K704" s="254"/>
      <c r="L704" s="254"/>
      <c r="M704" s="9"/>
      <c r="N704" s="899"/>
      <c r="O704" s="900"/>
      <c r="P704" s="901"/>
      <c r="Q704" s="874"/>
      <c r="R704" s="874"/>
      <c r="S704" s="841"/>
      <c r="T704" s="854"/>
    </row>
    <row r="705" spans="1:20" s="318" customFormat="1">
      <c r="A705" s="915"/>
      <c r="B705" s="919"/>
      <c r="C705" s="913"/>
      <c r="D705" s="49"/>
      <c r="E705" s="57"/>
      <c r="F705" s="50"/>
      <c r="G705" s="12"/>
      <c r="H705" s="7"/>
      <c r="I705" s="21"/>
      <c r="J705" s="254"/>
      <c r="K705" s="254"/>
      <c r="L705" s="254"/>
      <c r="M705" s="9"/>
      <c r="N705" s="899"/>
      <c r="O705" s="900"/>
      <c r="P705" s="901"/>
      <c r="Q705" s="874"/>
      <c r="R705" s="874"/>
      <c r="S705" s="841"/>
      <c r="T705" s="854"/>
    </row>
    <row r="706" spans="1:20" s="837" customFormat="1">
      <c r="A706" s="915"/>
      <c r="B706" s="919"/>
      <c r="C706" s="913" t="s">
        <v>2455</v>
      </c>
      <c r="D706" s="49" t="s">
        <v>172</v>
      </c>
      <c r="E706" s="826" t="s">
        <v>1056</v>
      </c>
      <c r="F706" s="23"/>
      <c r="G706" s="12" t="s">
        <v>1057</v>
      </c>
      <c r="H706" s="18" t="s">
        <v>158</v>
      </c>
      <c r="I706" s="21">
        <v>32</v>
      </c>
      <c r="J706" s="254">
        <v>22.3</v>
      </c>
      <c r="K706" s="9">
        <f>J706*$S$3</f>
        <v>29.213000000000001</v>
      </c>
      <c r="L706" s="254">
        <v>16.8</v>
      </c>
      <c r="M706" s="9">
        <f t="shared" si="46"/>
        <v>34.119999999999997</v>
      </c>
      <c r="N706" s="899">
        <v>0</v>
      </c>
      <c r="O706" s="900">
        <f t="shared" si="49"/>
        <v>32</v>
      </c>
      <c r="P706" s="901">
        <f t="shared" si="47"/>
        <v>1091.8399999999999</v>
      </c>
      <c r="Q706" s="877"/>
      <c r="R706" s="877"/>
      <c r="S706" s="845"/>
      <c r="T706" s="858"/>
    </row>
    <row r="707" spans="1:20" s="318" customFormat="1">
      <c r="A707" s="915"/>
      <c r="B707" s="919"/>
      <c r="C707" s="913"/>
      <c r="D707" s="49" t="s">
        <v>13</v>
      </c>
      <c r="E707" s="826"/>
      <c r="F707" s="23"/>
      <c r="G707" s="12" t="s">
        <v>870</v>
      </c>
      <c r="H707" s="18"/>
      <c r="I707" s="21"/>
      <c r="J707" s="254"/>
      <c r="K707" s="254"/>
      <c r="L707" s="254"/>
      <c r="M707" s="9"/>
      <c r="N707" s="899"/>
      <c r="O707" s="900"/>
      <c r="P707" s="901"/>
      <c r="Q707" s="874"/>
      <c r="R707" s="874"/>
      <c r="S707" s="841"/>
      <c r="T707" s="854"/>
    </row>
    <row r="708" spans="1:20" s="837" customFormat="1" ht="38.25">
      <c r="A708" s="915"/>
      <c r="B708" s="919"/>
      <c r="C708" s="913" t="s">
        <v>2455</v>
      </c>
      <c r="D708" s="49" t="s">
        <v>167</v>
      </c>
      <c r="E708" s="826" t="s">
        <v>1054</v>
      </c>
      <c r="F708" s="23"/>
      <c r="G708" s="12" t="s">
        <v>1055</v>
      </c>
      <c r="H708" s="7" t="s">
        <v>246</v>
      </c>
      <c r="I708" s="21">
        <v>1</v>
      </c>
      <c r="J708" s="254">
        <v>13500</v>
      </c>
      <c r="K708" s="9">
        <f>J708*$S$3</f>
        <v>17685</v>
      </c>
      <c r="L708" s="254">
        <v>16.8</v>
      </c>
      <c r="M708" s="9">
        <f t="shared" si="46"/>
        <v>20656.080000000002</v>
      </c>
      <c r="N708" s="899">
        <v>0</v>
      </c>
      <c r="O708" s="900">
        <f t="shared" si="49"/>
        <v>1</v>
      </c>
      <c r="P708" s="901">
        <f t="shared" si="47"/>
        <v>20656.080000000002</v>
      </c>
      <c r="Q708" s="877"/>
      <c r="R708" s="877"/>
      <c r="S708" s="845"/>
      <c r="T708" s="858"/>
    </row>
    <row r="709" spans="1:20" s="318" customFormat="1">
      <c r="A709" s="915"/>
      <c r="B709" s="919"/>
      <c r="C709" s="913"/>
      <c r="D709" s="49" t="s">
        <v>12</v>
      </c>
      <c r="E709" s="57"/>
      <c r="F709" s="50"/>
      <c r="G709" s="12" t="s">
        <v>867</v>
      </c>
      <c r="H709" s="18"/>
      <c r="I709" s="21"/>
      <c r="J709" s="254"/>
      <c r="K709" s="254"/>
      <c r="L709" s="254"/>
      <c r="M709" s="9"/>
      <c r="N709" s="899"/>
      <c r="O709" s="900"/>
      <c r="P709" s="901"/>
      <c r="Q709" s="874"/>
      <c r="R709" s="874"/>
      <c r="S709" s="841"/>
      <c r="T709" s="854"/>
    </row>
    <row r="710" spans="1:20" s="610" customFormat="1" ht="38.25">
      <c r="A710" s="915"/>
      <c r="B710" s="919"/>
      <c r="C710" s="913" t="s">
        <v>2455</v>
      </c>
      <c r="D710" s="49" t="s">
        <v>162</v>
      </c>
      <c r="E710" s="57" t="s">
        <v>768</v>
      </c>
      <c r="F710" s="50"/>
      <c r="G710" s="134" t="s">
        <v>769</v>
      </c>
      <c r="H710" s="18" t="s">
        <v>326</v>
      </c>
      <c r="I710" s="21">
        <v>1</v>
      </c>
      <c r="J710" s="254">
        <v>423.43</v>
      </c>
      <c r="K710" s="9">
        <f>J710*$S$3</f>
        <v>554.69330000000002</v>
      </c>
      <c r="L710" s="254">
        <v>16.8</v>
      </c>
      <c r="M710" s="9">
        <f t="shared" si="46"/>
        <v>647.88</v>
      </c>
      <c r="N710" s="899">
        <v>0</v>
      </c>
      <c r="O710" s="900">
        <f t="shared" si="49"/>
        <v>1</v>
      </c>
      <c r="P710" s="901">
        <f t="shared" si="47"/>
        <v>647.88</v>
      </c>
      <c r="Q710" s="873"/>
      <c r="R710" s="873"/>
      <c r="S710" s="840"/>
      <c r="T710" s="853"/>
    </row>
    <row r="711" spans="1:20" s="318" customFormat="1">
      <c r="A711" s="915"/>
      <c r="B711" s="919"/>
      <c r="C711" s="913"/>
      <c r="D711" s="49"/>
      <c r="E711" s="24"/>
      <c r="F711" s="60"/>
      <c r="G711" s="134"/>
      <c r="H711" s="18"/>
      <c r="I711" s="21"/>
      <c r="J711" s="254"/>
      <c r="K711" s="254"/>
      <c r="L711" s="254"/>
      <c r="M711" s="9"/>
      <c r="N711" s="926"/>
      <c r="O711" s="900"/>
      <c r="P711" s="901"/>
      <c r="Q711" s="874"/>
      <c r="R711" s="874"/>
      <c r="S711" s="841"/>
      <c r="T711" s="854"/>
    </row>
    <row r="712" spans="1:20" s="318" customFormat="1">
      <c r="A712" s="915"/>
      <c r="B712" s="919"/>
      <c r="C712" s="913"/>
      <c r="D712" s="49"/>
      <c r="E712" s="24"/>
      <c r="F712" s="60"/>
      <c r="G712" s="185"/>
      <c r="H712" s="18"/>
      <c r="I712" s="21"/>
      <c r="J712" s="254"/>
      <c r="K712" s="254"/>
      <c r="L712" s="254"/>
      <c r="M712" s="9"/>
      <c r="N712" s="936"/>
      <c r="O712" s="900"/>
      <c r="P712" s="901"/>
      <c r="Q712" s="874"/>
      <c r="R712" s="874"/>
      <c r="S712" s="841"/>
      <c r="T712" s="854"/>
    </row>
    <row r="713" spans="1:20" s="337" customFormat="1">
      <c r="A713" s="918"/>
      <c r="B713" s="922"/>
      <c r="C713" s="924"/>
      <c r="D713" s="929"/>
      <c r="E713" s="930"/>
      <c r="F713" s="929"/>
      <c r="G713" s="930" t="s">
        <v>70</v>
      </c>
      <c r="H713" s="929" t="str">
        <f>D640</f>
        <v>19.2</v>
      </c>
      <c r="I713" s="929"/>
      <c r="J713" s="929"/>
      <c r="K713" s="929"/>
      <c r="L713" s="929"/>
      <c r="M713" s="9"/>
      <c r="N713" s="937"/>
      <c r="O713" s="900"/>
      <c r="P713" s="901">
        <f>SUM(P646:P710)</f>
        <v>60882.719999999994</v>
      </c>
      <c r="Q713" s="874"/>
      <c r="R713" s="874"/>
      <c r="S713" s="841"/>
      <c r="T713" s="854"/>
    </row>
    <row r="714" spans="1:20" s="318" customFormat="1">
      <c r="A714" s="915"/>
      <c r="B714" s="919"/>
      <c r="C714" s="913"/>
      <c r="D714" s="302"/>
      <c r="E714" s="819"/>
      <c r="F714" s="302"/>
      <c r="G714" s="302"/>
      <c r="H714" s="302"/>
      <c r="I714" s="302"/>
      <c r="J714" s="302"/>
      <c r="K714" s="302"/>
      <c r="L714" s="302"/>
      <c r="M714" s="9"/>
      <c r="N714" s="375"/>
      <c r="O714" s="789"/>
      <c r="P714" s="863"/>
      <c r="Q714" s="874"/>
      <c r="R714" s="874"/>
      <c r="S714" s="841"/>
      <c r="T714" s="854"/>
    </row>
    <row r="715" spans="1:20" s="310" customFormat="1">
      <c r="A715" s="915"/>
      <c r="B715" s="919"/>
      <c r="C715" s="913"/>
      <c r="D715" s="108">
        <v>21</v>
      </c>
      <c r="E715" s="813"/>
      <c r="F715" s="109"/>
      <c r="G715" s="108" t="s">
        <v>1966</v>
      </c>
      <c r="H715" s="109"/>
      <c r="I715" s="109"/>
      <c r="J715" s="109"/>
      <c r="K715" s="109"/>
      <c r="L715" s="109"/>
      <c r="M715" s="791"/>
      <c r="N715" s="378"/>
      <c r="O715" s="792"/>
      <c r="P715" s="864"/>
      <c r="Q715" s="872"/>
      <c r="R715" s="872"/>
      <c r="S715" s="842"/>
      <c r="T715" s="852"/>
    </row>
    <row r="716" spans="1:20" s="310" customFormat="1">
      <c r="A716" s="915"/>
      <c r="B716" s="919"/>
      <c r="C716" s="913"/>
      <c r="D716" s="108" t="s">
        <v>53</v>
      </c>
      <c r="E716" s="813"/>
      <c r="F716" s="109"/>
      <c r="G716" s="108" t="s">
        <v>1998</v>
      </c>
      <c r="H716" s="109"/>
      <c r="I716" s="109"/>
      <c r="J716" s="109"/>
      <c r="K716" s="109"/>
      <c r="L716" s="109"/>
      <c r="M716" s="791"/>
      <c r="N716" s="378"/>
      <c r="O716" s="792"/>
      <c r="P716" s="864"/>
      <c r="Q716" s="872"/>
      <c r="R716" s="872"/>
      <c r="S716" s="842"/>
      <c r="T716" s="852"/>
    </row>
    <row r="717" spans="1:20" s="318" customFormat="1">
      <c r="A717" s="915"/>
      <c r="B717" s="919"/>
      <c r="C717" s="913"/>
      <c r="D717" s="384"/>
      <c r="E717" s="931"/>
      <c r="F717" s="384"/>
      <c r="G717" s="384"/>
      <c r="H717" s="384"/>
      <c r="I717" s="384"/>
      <c r="J717" s="384"/>
      <c r="K717" s="384"/>
      <c r="L717" s="384"/>
      <c r="M717" s="9"/>
      <c r="N717" s="926"/>
      <c r="O717" s="900"/>
      <c r="P717" s="901"/>
      <c r="Q717" s="874"/>
      <c r="R717" s="874"/>
      <c r="S717" s="841"/>
      <c r="T717" s="854"/>
    </row>
    <row r="718" spans="1:20" s="318" customFormat="1" ht="25.5">
      <c r="A718" s="915"/>
      <c r="B718" s="919"/>
      <c r="C718" s="913"/>
      <c r="D718" s="606"/>
      <c r="E718" s="259"/>
      <c r="F718" s="233"/>
      <c r="G718" s="234" t="s">
        <v>342</v>
      </c>
      <c r="H718" s="235"/>
      <c r="I718" s="236"/>
      <c r="J718" s="237"/>
      <c r="K718" s="237"/>
      <c r="L718" s="237"/>
      <c r="M718" s="9"/>
      <c r="N718" s="926"/>
      <c r="O718" s="900"/>
      <c r="P718" s="901"/>
      <c r="Q718" s="874"/>
      <c r="R718" s="874"/>
      <c r="S718" s="841"/>
      <c r="T718" s="854"/>
    </row>
    <row r="719" spans="1:20" s="318" customFormat="1">
      <c r="A719" s="915"/>
      <c r="B719" s="919"/>
      <c r="C719" s="913"/>
      <c r="D719" s="606"/>
      <c r="E719" s="259"/>
      <c r="F719" s="233"/>
      <c r="G719" s="234"/>
      <c r="H719" s="235"/>
      <c r="I719" s="236"/>
      <c r="J719" s="237"/>
      <c r="K719" s="237"/>
      <c r="L719" s="237"/>
      <c r="M719" s="9"/>
      <c r="N719" s="926"/>
      <c r="O719" s="900"/>
      <c r="P719" s="901"/>
      <c r="Q719" s="874"/>
      <c r="R719" s="874"/>
      <c r="S719" s="841"/>
      <c r="T719" s="854"/>
    </row>
    <row r="720" spans="1:20" s="885" customFormat="1" ht="38.25">
      <c r="A720" s="915"/>
      <c r="B720" s="919"/>
      <c r="C720" s="913"/>
      <c r="D720" s="232">
        <v>1</v>
      </c>
      <c r="E720" s="1058" t="s">
        <v>1165</v>
      </c>
      <c r="F720" s="606"/>
      <c r="G720" s="234" t="s">
        <v>1166</v>
      </c>
      <c r="H720" s="240" t="s">
        <v>326</v>
      </c>
      <c r="I720" s="241">
        <v>1</v>
      </c>
      <c r="J720" s="242">
        <v>151431</v>
      </c>
      <c r="K720" s="242">
        <v>114000</v>
      </c>
      <c r="L720" s="242">
        <v>16.8</v>
      </c>
      <c r="M720" s="9">
        <f t="shared" si="46"/>
        <v>133152</v>
      </c>
      <c r="N720" s="899">
        <v>0</v>
      </c>
      <c r="O720" s="900">
        <f t="shared" si="49"/>
        <v>1</v>
      </c>
      <c r="P720" s="1060">
        <f t="shared" si="47"/>
        <v>133152</v>
      </c>
      <c r="Q720" s="882">
        <v>255</v>
      </c>
      <c r="R720" s="882" t="s">
        <v>2427</v>
      </c>
      <c r="S720" s="883"/>
      <c r="T720" s="884"/>
    </row>
    <row r="721" spans="1:20" s="892" customFormat="1">
      <c r="A721" s="915"/>
      <c r="B721" s="919"/>
      <c r="C721" s="913"/>
      <c r="D721" s="239" t="s">
        <v>20</v>
      </c>
      <c r="E721" s="1058"/>
      <c r="F721" s="606"/>
      <c r="G721" s="258" t="s">
        <v>1164</v>
      </c>
      <c r="H721" s="240" t="s">
        <v>326</v>
      </c>
      <c r="I721" s="241">
        <v>3</v>
      </c>
      <c r="J721" s="242" t="s">
        <v>1147</v>
      </c>
      <c r="K721" s="242"/>
      <c r="L721" s="242"/>
      <c r="M721" s="9">
        <f t="shared" ref="M721:M784" si="51">ROUND(K721*(L721/100+1),2)</f>
        <v>0</v>
      </c>
      <c r="N721" s="899">
        <v>0</v>
      </c>
      <c r="O721" s="900">
        <f t="shared" si="49"/>
        <v>3</v>
      </c>
      <c r="P721" s="1061"/>
      <c r="Q721" s="889"/>
      <c r="R721" s="889"/>
      <c r="S721" s="890"/>
      <c r="T721" s="891"/>
    </row>
    <row r="722" spans="1:20" s="892" customFormat="1">
      <c r="A722" s="915"/>
      <c r="B722" s="919"/>
      <c r="C722" s="913"/>
      <c r="D722" s="239" t="s">
        <v>19</v>
      </c>
      <c r="E722" s="1058"/>
      <c r="F722" s="606"/>
      <c r="G722" s="258" t="s">
        <v>1163</v>
      </c>
      <c r="H722" s="240" t="s">
        <v>326</v>
      </c>
      <c r="I722" s="241">
        <v>3</v>
      </c>
      <c r="J722" s="242" t="s">
        <v>1147</v>
      </c>
      <c r="K722" s="242"/>
      <c r="L722" s="242"/>
      <c r="M722" s="9">
        <f t="shared" si="51"/>
        <v>0</v>
      </c>
      <c r="N722" s="899">
        <v>0</v>
      </c>
      <c r="O722" s="900">
        <f t="shared" si="49"/>
        <v>3</v>
      </c>
      <c r="P722" s="1061"/>
      <c r="Q722" s="889"/>
      <c r="R722" s="889"/>
      <c r="S722" s="890"/>
      <c r="T722" s="891"/>
    </row>
    <row r="723" spans="1:20" s="892" customFormat="1">
      <c r="A723" s="915"/>
      <c r="B723" s="919"/>
      <c r="C723" s="913"/>
      <c r="D723" s="239" t="s">
        <v>18</v>
      </c>
      <c r="E723" s="1058"/>
      <c r="F723" s="606"/>
      <c r="G723" s="258" t="s">
        <v>1162</v>
      </c>
      <c r="H723" s="240" t="s">
        <v>246</v>
      </c>
      <c r="I723" s="241">
        <v>1</v>
      </c>
      <c r="J723" s="242" t="s">
        <v>1147</v>
      </c>
      <c r="K723" s="242"/>
      <c r="L723" s="242"/>
      <c r="M723" s="9">
        <f t="shared" si="51"/>
        <v>0</v>
      </c>
      <c r="N723" s="899">
        <v>0</v>
      </c>
      <c r="O723" s="900">
        <f t="shared" si="49"/>
        <v>1</v>
      </c>
      <c r="P723" s="1061"/>
      <c r="Q723" s="889"/>
      <c r="R723" s="889"/>
      <c r="S723" s="890"/>
      <c r="T723" s="891"/>
    </row>
    <row r="724" spans="1:20" s="892" customFormat="1">
      <c r="A724" s="915"/>
      <c r="B724" s="919"/>
      <c r="C724" s="913"/>
      <c r="D724" s="239" t="s">
        <v>17</v>
      </c>
      <c r="E724" s="1058"/>
      <c r="F724" s="606"/>
      <c r="G724" s="258" t="s">
        <v>1161</v>
      </c>
      <c r="H724" s="240" t="s">
        <v>326</v>
      </c>
      <c r="I724" s="241">
        <v>1</v>
      </c>
      <c r="J724" s="242" t="s">
        <v>1147</v>
      </c>
      <c r="K724" s="242"/>
      <c r="L724" s="242"/>
      <c r="M724" s="9">
        <f t="shared" si="51"/>
        <v>0</v>
      </c>
      <c r="N724" s="899">
        <v>0</v>
      </c>
      <c r="O724" s="900">
        <f t="shared" si="49"/>
        <v>1</v>
      </c>
      <c r="P724" s="1061"/>
      <c r="Q724" s="889"/>
      <c r="R724" s="889"/>
      <c r="S724" s="890"/>
      <c r="T724" s="891"/>
    </row>
    <row r="725" spans="1:20" s="892" customFormat="1">
      <c r="A725" s="915"/>
      <c r="B725" s="919"/>
      <c r="C725" s="913"/>
      <c r="D725" s="239" t="s">
        <v>16</v>
      </c>
      <c r="E725" s="1058"/>
      <c r="F725" s="606"/>
      <c r="G725" s="258" t="s">
        <v>1160</v>
      </c>
      <c r="H725" s="240" t="s">
        <v>326</v>
      </c>
      <c r="I725" s="241">
        <v>1</v>
      </c>
      <c r="J725" s="242" t="s">
        <v>1147</v>
      </c>
      <c r="K725" s="242"/>
      <c r="L725" s="242"/>
      <c r="M725" s="9">
        <f t="shared" si="51"/>
        <v>0</v>
      </c>
      <c r="N725" s="899">
        <v>0</v>
      </c>
      <c r="O725" s="900">
        <f t="shared" si="49"/>
        <v>1</v>
      </c>
      <c r="P725" s="1061"/>
      <c r="Q725" s="889"/>
      <c r="R725" s="889"/>
      <c r="S725" s="890"/>
      <c r="T725" s="891"/>
    </row>
    <row r="726" spans="1:20" s="892" customFormat="1">
      <c r="A726" s="915"/>
      <c r="B726" s="919"/>
      <c r="C726" s="913"/>
      <c r="D726" s="239" t="s">
        <v>15</v>
      </c>
      <c r="E726" s="1058"/>
      <c r="F726" s="606"/>
      <c r="G726" s="258" t="s">
        <v>1159</v>
      </c>
      <c r="H726" s="240" t="s">
        <v>326</v>
      </c>
      <c r="I726" s="241">
        <v>1</v>
      </c>
      <c r="J726" s="242" t="s">
        <v>1147</v>
      </c>
      <c r="K726" s="242"/>
      <c r="L726" s="242"/>
      <c r="M726" s="9">
        <f t="shared" si="51"/>
        <v>0</v>
      </c>
      <c r="N726" s="899">
        <v>0</v>
      </c>
      <c r="O726" s="900">
        <f t="shared" si="49"/>
        <v>1</v>
      </c>
      <c r="P726" s="1061"/>
      <c r="Q726" s="889"/>
      <c r="R726" s="889"/>
      <c r="S726" s="890"/>
      <c r="T726" s="891"/>
    </row>
    <row r="727" spans="1:20" s="892" customFormat="1" ht="25.5">
      <c r="A727" s="915"/>
      <c r="B727" s="919"/>
      <c r="C727" s="913"/>
      <c r="D727" s="239" t="s">
        <v>14</v>
      </c>
      <c r="E727" s="1058"/>
      <c r="F727" s="606"/>
      <c r="G727" s="258" t="s">
        <v>1158</v>
      </c>
      <c r="H727" s="240" t="s">
        <v>326</v>
      </c>
      <c r="I727" s="241">
        <v>1</v>
      </c>
      <c r="J727" s="242" t="s">
        <v>1147</v>
      </c>
      <c r="K727" s="242"/>
      <c r="L727" s="242"/>
      <c r="M727" s="9">
        <f t="shared" si="51"/>
        <v>0</v>
      </c>
      <c r="N727" s="899">
        <v>0</v>
      </c>
      <c r="O727" s="900">
        <f t="shared" si="49"/>
        <v>1</v>
      </c>
      <c r="P727" s="1061"/>
      <c r="Q727" s="889"/>
      <c r="R727" s="889"/>
      <c r="S727" s="890"/>
      <c r="T727" s="891"/>
    </row>
    <row r="728" spans="1:20" s="892" customFormat="1">
      <c r="A728" s="915"/>
      <c r="B728" s="919"/>
      <c r="C728" s="913"/>
      <c r="D728" s="239" t="s">
        <v>13</v>
      </c>
      <c r="E728" s="1058"/>
      <c r="F728" s="606"/>
      <c r="G728" s="258" t="s">
        <v>1157</v>
      </c>
      <c r="H728" s="240" t="s">
        <v>326</v>
      </c>
      <c r="I728" s="241">
        <v>1</v>
      </c>
      <c r="J728" s="242" t="s">
        <v>1147</v>
      </c>
      <c r="K728" s="242"/>
      <c r="L728" s="242"/>
      <c r="M728" s="9">
        <f t="shared" si="51"/>
        <v>0</v>
      </c>
      <c r="N728" s="899">
        <v>0</v>
      </c>
      <c r="O728" s="900">
        <f t="shared" si="49"/>
        <v>1</v>
      </c>
      <c r="P728" s="1062"/>
      <c r="Q728" s="889"/>
      <c r="R728" s="889"/>
      <c r="S728" s="890"/>
      <c r="T728" s="891"/>
    </row>
    <row r="729" spans="1:20" s="318" customFormat="1">
      <c r="A729" s="915"/>
      <c r="B729" s="919"/>
      <c r="C729" s="913"/>
      <c r="D729" s="239"/>
      <c r="E729" s="606"/>
      <c r="F729" s="235"/>
      <c r="G729" s="113"/>
      <c r="H729" s="240"/>
      <c r="I729" s="241"/>
      <c r="J729" s="242"/>
      <c r="K729" s="242"/>
      <c r="L729" s="242"/>
      <c r="M729" s="9"/>
      <c r="N729" s="926"/>
      <c r="O729" s="900"/>
      <c r="P729" s="901"/>
      <c r="Q729" s="874"/>
      <c r="R729" s="874"/>
      <c r="S729" s="841"/>
      <c r="T729" s="854"/>
    </row>
    <row r="730" spans="1:20" s="318" customFormat="1">
      <c r="A730" s="915"/>
      <c r="B730" s="919"/>
      <c r="C730" s="913"/>
      <c r="D730" s="238"/>
      <c r="E730" s="259"/>
      <c r="F730" s="233"/>
      <c r="G730" s="259"/>
      <c r="H730" s="244"/>
      <c r="I730" s="245"/>
      <c r="J730" s="246"/>
      <c r="K730" s="246"/>
      <c r="L730" s="246"/>
      <c r="M730" s="9"/>
      <c r="N730" s="936"/>
      <c r="O730" s="900"/>
      <c r="P730" s="901"/>
      <c r="Q730" s="874"/>
      <c r="R730" s="874"/>
      <c r="S730" s="841"/>
      <c r="T730" s="854"/>
    </row>
    <row r="731" spans="1:20" s="318" customFormat="1">
      <c r="A731" s="915"/>
      <c r="B731" s="919"/>
      <c r="C731" s="913"/>
      <c r="D731" s="238"/>
      <c r="E731" s="259"/>
      <c r="F731" s="233"/>
      <c r="G731" s="259"/>
      <c r="H731" s="244"/>
      <c r="I731" s="245"/>
      <c r="J731" s="246"/>
      <c r="K731" s="246"/>
      <c r="L731" s="246"/>
      <c r="M731" s="9"/>
      <c r="N731" s="926"/>
      <c r="O731" s="900"/>
      <c r="P731" s="901"/>
      <c r="Q731" s="874"/>
      <c r="R731" s="874"/>
      <c r="S731" s="841"/>
      <c r="T731" s="854"/>
    </row>
    <row r="732" spans="1:20" s="885" customFormat="1" ht="25.5">
      <c r="A732" s="915"/>
      <c r="B732" s="919"/>
      <c r="C732" s="913"/>
      <c r="D732" s="260">
        <v>2</v>
      </c>
      <c r="E732" s="1058" t="s">
        <v>1155</v>
      </c>
      <c r="F732" s="606"/>
      <c r="G732" s="234" t="s">
        <v>1156</v>
      </c>
      <c r="H732" s="240" t="s">
        <v>326</v>
      </c>
      <c r="I732" s="241">
        <v>1</v>
      </c>
      <c r="J732" s="242">
        <v>299000</v>
      </c>
      <c r="K732" s="242">
        <v>299000</v>
      </c>
      <c r="L732" s="242">
        <v>16.8</v>
      </c>
      <c r="M732" s="9">
        <f t="shared" si="51"/>
        <v>349232</v>
      </c>
      <c r="N732" s="899">
        <v>0</v>
      </c>
      <c r="O732" s="900">
        <f t="shared" si="49"/>
        <v>1</v>
      </c>
      <c r="P732" s="1060">
        <f t="shared" ref="P732:P784" si="52">ROUND(O732*M732,2)</f>
        <v>349232</v>
      </c>
      <c r="Q732" s="882">
        <v>266</v>
      </c>
      <c r="R732" s="882" t="s">
        <v>2427</v>
      </c>
      <c r="S732" s="883"/>
      <c r="T732" s="884"/>
    </row>
    <row r="733" spans="1:20" s="892" customFormat="1" ht="25.5">
      <c r="A733" s="915"/>
      <c r="B733" s="919"/>
      <c r="C733" s="913"/>
      <c r="D733" s="239" t="s">
        <v>9</v>
      </c>
      <c r="E733" s="1058"/>
      <c r="F733" s="606"/>
      <c r="G733" s="113" t="s">
        <v>1154</v>
      </c>
      <c r="H733" s="240" t="s">
        <v>326</v>
      </c>
      <c r="I733" s="241">
        <v>1</v>
      </c>
      <c r="J733" s="242" t="s">
        <v>1147</v>
      </c>
      <c r="K733" s="242"/>
      <c r="L733" s="242"/>
      <c r="M733" s="9">
        <f t="shared" si="51"/>
        <v>0</v>
      </c>
      <c r="N733" s="926"/>
      <c r="O733" s="900">
        <f t="shared" si="49"/>
        <v>1</v>
      </c>
      <c r="P733" s="1061"/>
      <c r="Q733" s="889"/>
      <c r="R733" s="889"/>
      <c r="S733" s="890"/>
      <c r="T733" s="891"/>
    </row>
    <row r="734" spans="1:20" s="892" customFormat="1" ht="38.25">
      <c r="A734" s="915"/>
      <c r="B734" s="919"/>
      <c r="C734" s="913"/>
      <c r="D734" s="239" t="s">
        <v>8</v>
      </c>
      <c r="E734" s="1058"/>
      <c r="F734" s="606"/>
      <c r="G734" s="113" t="s">
        <v>1153</v>
      </c>
      <c r="H734" s="240" t="s">
        <v>326</v>
      </c>
      <c r="I734" s="241">
        <v>1</v>
      </c>
      <c r="J734" s="242" t="s">
        <v>1147</v>
      </c>
      <c r="K734" s="242"/>
      <c r="L734" s="242"/>
      <c r="M734" s="9">
        <f t="shared" si="51"/>
        <v>0</v>
      </c>
      <c r="N734" s="926"/>
      <c r="O734" s="900">
        <f t="shared" si="49"/>
        <v>1</v>
      </c>
      <c r="P734" s="1061"/>
      <c r="Q734" s="889"/>
      <c r="R734" s="889"/>
      <c r="S734" s="890"/>
      <c r="T734" s="891"/>
    </row>
    <row r="735" spans="1:20" s="892" customFormat="1">
      <c r="A735" s="915"/>
      <c r="B735" s="919"/>
      <c r="C735" s="913"/>
      <c r="D735" s="239" t="s">
        <v>7</v>
      </c>
      <c r="E735" s="1058"/>
      <c r="F735" s="606"/>
      <c r="G735" s="113" t="s">
        <v>1152</v>
      </c>
      <c r="H735" s="240" t="s">
        <v>246</v>
      </c>
      <c r="I735" s="241">
        <v>1</v>
      </c>
      <c r="J735" s="242" t="s">
        <v>1147</v>
      </c>
      <c r="K735" s="242"/>
      <c r="L735" s="242"/>
      <c r="M735" s="9">
        <f t="shared" si="51"/>
        <v>0</v>
      </c>
      <c r="N735" s="926"/>
      <c r="O735" s="900">
        <f t="shared" si="49"/>
        <v>1</v>
      </c>
      <c r="P735" s="1061"/>
      <c r="Q735" s="889"/>
      <c r="R735" s="889"/>
      <c r="S735" s="890"/>
      <c r="T735" s="891"/>
    </row>
    <row r="736" spans="1:20" s="892" customFormat="1" ht="25.5">
      <c r="A736" s="915"/>
      <c r="B736" s="919"/>
      <c r="C736" s="913"/>
      <c r="D736" s="239" t="s">
        <v>6</v>
      </c>
      <c r="E736" s="1058"/>
      <c r="F736" s="606"/>
      <c r="G736" s="113" t="s">
        <v>1151</v>
      </c>
      <c r="H736" s="240" t="s">
        <v>326</v>
      </c>
      <c r="I736" s="241">
        <v>1</v>
      </c>
      <c r="J736" s="242" t="s">
        <v>1147</v>
      </c>
      <c r="K736" s="242"/>
      <c r="L736" s="242"/>
      <c r="M736" s="9">
        <f t="shared" si="51"/>
        <v>0</v>
      </c>
      <c r="N736" s="926"/>
      <c r="O736" s="900">
        <f t="shared" si="49"/>
        <v>1</v>
      </c>
      <c r="P736" s="1061"/>
      <c r="Q736" s="889"/>
      <c r="R736" s="889"/>
      <c r="S736" s="890"/>
      <c r="T736" s="891"/>
    </row>
    <row r="737" spans="1:20" s="892" customFormat="1" ht="25.5">
      <c r="A737" s="915"/>
      <c r="B737" s="919"/>
      <c r="C737" s="913"/>
      <c r="D737" s="239" t="s">
        <v>5</v>
      </c>
      <c r="E737" s="1058"/>
      <c r="F737" s="606"/>
      <c r="G737" s="113" t="s">
        <v>1150</v>
      </c>
      <c r="H737" s="240" t="s">
        <v>326</v>
      </c>
      <c r="I737" s="241">
        <v>2</v>
      </c>
      <c r="J737" s="242" t="s">
        <v>1147</v>
      </c>
      <c r="K737" s="242"/>
      <c r="L737" s="242"/>
      <c r="M737" s="9">
        <f t="shared" si="51"/>
        <v>0</v>
      </c>
      <c r="N737" s="926"/>
      <c r="O737" s="900">
        <f t="shared" si="49"/>
        <v>2</v>
      </c>
      <c r="P737" s="1061"/>
      <c r="Q737" s="889"/>
      <c r="R737" s="889"/>
      <c r="S737" s="890"/>
      <c r="T737" s="891"/>
    </row>
    <row r="738" spans="1:20" s="892" customFormat="1" ht="25.5">
      <c r="A738" s="915"/>
      <c r="B738" s="919"/>
      <c r="C738" s="913"/>
      <c r="D738" s="239" t="s">
        <v>4</v>
      </c>
      <c r="E738" s="1058"/>
      <c r="F738" s="606"/>
      <c r="G738" s="113" t="s">
        <v>1149</v>
      </c>
      <c r="H738" s="240" t="s">
        <v>326</v>
      </c>
      <c r="I738" s="241">
        <v>2</v>
      </c>
      <c r="J738" s="242" t="s">
        <v>1147</v>
      </c>
      <c r="K738" s="242"/>
      <c r="L738" s="242"/>
      <c r="M738" s="9">
        <f t="shared" si="51"/>
        <v>0</v>
      </c>
      <c r="N738" s="926"/>
      <c r="O738" s="900">
        <f t="shared" si="49"/>
        <v>2</v>
      </c>
      <c r="P738" s="1061"/>
      <c r="Q738" s="889"/>
      <c r="R738" s="889"/>
      <c r="S738" s="890"/>
      <c r="T738" s="891"/>
    </row>
    <row r="739" spans="1:20" s="892" customFormat="1" ht="25.5">
      <c r="A739" s="915"/>
      <c r="B739" s="919"/>
      <c r="C739" s="913"/>
      <c r="D739" s="239" t="s">
        <v>3</v>
      </c>
      <c r="E739" s="1058"/>
      <c r="F739" s="606"/>
      <c r="G739" s="113" t="s">
        <v>1148</v>
      </c>
      <c r="H739" s="240" t="s">
        <v>326</v>
      </c>
      <c r="I739" s="241">
        <v>1</v>
      </c>
      <c r="J739" s="242" t="s">
        <v>1147</v>
      </c>
      <c r="K739" s="242"/>
      <c r="L739" s="242"/>
      <c r="M739" s="9">
        <f t="shared" si="51"/>
        <v>0</v>
      </c>
      <c r="N739" s="926"/>
      <c r="O739" s="900">
        <f t="shared" ref="O739:O802" si="53">I739-N739</f>
        <v>1</v>
      </c>
      <c r="P739" s="1062"/>
      <c r="Q739" s="889"/>
      <c r="R739" s="889"/>
      <c r="S739" s="890"/>
      <c r="T739" s="891"/>
    </row>
    <row r="740" spans="1:20">
      <c r="D740" s="239"/>
      <c r="E740" s="606"/>
      <c r="F740" s="235"/>
      <c r="G740" s="258"/>
      <c r="H740" s="242"/>
      <c r="I740" s="241"/>
      <c r="J740" s="242"/>
      <c r="K740" s="242"/>
      <c r="L740" s="242"/>
      <c r="M740" s="9"/>
      <c r="N740" s="926"/>
      <c r="O740" s="900"/>
      <c r="P740" s="901"/>
      <c r="Q740" s="874"/>
      <c r="R740" s="874"/>
      <c r="S740" s="841"/>
      <c r="T740" s="854"/>
    </row>
    <row r="741" spans="1:20">
      <c r="D741" s="260"/>
      <c r="E741" s="259"/>
      <c r="F741" s="233"/>
      <c r="G741" s="259"/>
      <c r="H741" s="246"/>
      <c r="I741" s="245"/>
      <c r="J741" s="246"/>
      <c r="K741" s="246"/>
      <c r="L741" s="246"/>
      <c r="M741" s="9"/>
      <c r="N741" s="936"/>
      <c r="O741" s="900"/>
      <c r="P741" s="901"/>
      <c r="Q741" s="874"/>
      <c r="R741" s="874"/>
      <c r="S741" s="841"/>
      <c r="T741" s="854"/>
    </row>
    <row r="742" spans="1:20">
      <c r="D742" s="260"/>
      <c r="E742" s="259"/>
      <c r="F742" s="233"/>
      <c r="G742" s="259"/>
      <c r="H742" s="246"/>
      <c r="I742" s="245"/>
      <c r="J742" s="246"/>
      <c r="K742" s="246"/>
      <c r="L742" s="246"/>
      <c r="M742" s="9"/>
      <c r="N742" s="926"/>
      <c r="O742" s="900"/>
      <c r="P742" s="901"/>
      <c r="Q742" s="874"/>
      <c r="R742" s="874"/>
      <c r="S742" s="841"/>
      <c r="T742" s="854"/>
    </row>
    <row r="743" spans="1:20">
      <c r="D743" s="260">
        <v>3</v>
      </c>
      <c r="E743" s="259"/>
      <c r="F743" s="233"/>
      <c r="G743" s="259" t="s">
        <v>1146</v>
      </c>
      <c r="H743" s="246"/>
      <c r="I743" s="245"/>
      <c r="J743" s="246"/>
      <c r="K743" s="246"/>
      <c r="L743" s="246"/>
      <c r="M743" s="9"/>
      <c r="N743" s="926"/>
      <c r="O743" s="900"/>
      <c r="P743" s="901"/>
      <c r="Q743" s="874"/>
      <c r="R743" s="874"/>
      <c r="S743" s="841"/>
      <c r="T743" s="854"/>
    </row>
    <row r="744" spans="1:20" s="885" customFormat="1">
      <c r="A744" s="915"/>
      <c r="B744" s="919"/>
      <c r="C744" s="913"/>
      <c r="D744" s="239" t="s">
        <v>144</v>
      </c>
      <c r="E744" s="606" t="s">
        <v>1893</v>
      </c>
      <c r="F744" s="235"/>
      <c r="G744" s="113" t="s">
        <v>1145</v>
      </c>
      <c r="H744" s="240" t="s">
        <v>326</v>
      </c>
      <c r="I744" s="241">
        <v>1</v>
      </c>
      <c r="J744" s="242">
        <v>21907</v>
      </c>
      <c r="K744" s="9">
        <v>24110</v>
      </c>
      <c r="L744" s="242">
        <v>16.8</v>
      </c>
      <c r="M744" s="9">
        <f t="shared" si="51"/>
        <v>28160.48</v>
      </c>
      <c r="N744" s="899">
        <v>0</v>
      </c>
      <c r="O744" s="900">
        <f t="shared" si="53"/>
        <v>1</v>
      </c>
      <c r="P744" s="901">
        <f t="shared" si="52"/>
        <v>28160.48</v>
      </c>
      <c r="Q744" s="882">
        <v>216</v>
      </c>
      <c r="R744" s="882" t="s">
        <v>2428</v>
      </c>
      <c r="S744" s="883"/>
      <c r="T744" s="884"/>
    </row>
    <row r="745" spans="1:20">
      <c r="D745" s="260"/>
      <c r="E745" s="259"/>
      <c r="F745" s="233"/>
      <c r="G745" s="259"/>
      <c r="H745" s="246"/>
      <c r="I745" s="245"/>
      <c r="J745" s="246"/>
      <c r="K745" s="246"/>
      <c r="L745" s="246"/>
      <c r="M745" s="9"/>
      <c r="N745" s="926"/>
      <c r="O745" s="900"/>
      <c r="P745" s="901"/>
      <c r="Q745" s="874"/>
      <c r="R745" s="874"/>
      <c r="S745" s="841"/>
      <c r="T745" s="854"/>
    </row>
    <row r="746" spans="1:20">
      <c r="D746" s="260"/>
      <c r="E746" s="259"/>
      <c r="F746" s="233"/>
      <c r="G746" s="259"/>
      <c r="H746" s="246"/>
      <c r="I746" s="245"/>
      <c r="J746" s="246"/>
      <c r="K746" s="246"/>
      <c r="L746" s="246"/>
      <c r="M746" s="9"/>
      <c r="N746" s="936"/>
      <c r="O746" s="900"/>
      <c r="P746" s="901"/>
      <c r="Q746" s="874"/>
      <c r="R746" s="874"/>
      <c r="S746" s="841"/>
      <c r="T746" s="854"/>
    </row>
    <row r="747" spans="1:20" s="299" customFormat="1">
      <c r="A747" s="918"/>
      <c r="B747" s="922"/>
      <c r="C747" s="924"/>
      <c r="D747" s="929"/>
      <c r="E747" s="930"/>
      <c r="F747" s="929"/>
      <c r="G747" s="930" t="s">
        <v>70</v>
      </c>
      <c r="H747" s="929">
        <f>D715</f>
        <v>21</v>
      </c>
      <c r="I747" s="929"/>
      <c r="J747" s="929"/>
      <c r="K747" s="929"/>
      <c r="L747" s="929"/>
      <c r="M747" s="9"/>
      <c r="N747" s="937"/>
      <c r="O747" s="900"/>
      <c r="P747" s="901">
        <f>SUM(P720:P744)</f>
        <v>510544.48</v>
      </c>
      <c r="Q747" s="874"/>
      <c r="R747" s="874"/>
      <c r="S747" s="841"/>
      <c r="T747" s="854"/>
    </row>
    <row r="748" spans="1:20">
      <c r="D748" s="44"/>
      <c r="E748" s="296"/>
      <c r="F748" s="44"/>
      <c r="G748" s="44"/>
      <c r="H748" s="44"/>
      <c r="I748" s="44"/>
      <c r="J748" s="302"/>
      <c r="K748" s="302"/>
      <c r="L748" s="44"/>
      <c r="M748" s="9"/>
      <c r="N748" s="375"/>
      <c r="O748" s="789"/>
      <c r="P748" s="863"/>
      <c r="Q748" s="874"/>
      <c r="R748" s="874"/>
      <c r="S748" s="841"/>
      <c r="T748" s="854"/>
    </row>
    <row r="749" spans="1:20" s="310" customFormat="1">
      <c r="A749" s="915"/>
      <c r="B749" s="919"/>
      <c r="C749" s="913"/>
      <c r="D749" s="108" t="s">
        <v>52</v>
      </c>
      <c r="E749" s="813"/>
      <c r="F749" s="109"/>
      <c r="G749" s="108" t="s">
        <v>1990</v>
      </c>
      <c r="H749" s="109"/>
      <c r="I749" s="109"/>
      <c r="J749" s="109"/>
      <c r="K749" s="109"/>
      <c r="L749" s="109"/>
      <c r="M749" s="791"/>
      <c r="N749" s="378"/>
      <c r="O749" s="792"/>
      <c r="P749" s="864"/>
      <c r="Q749" s="872"/>
      <c r="R749" s="872"/>
      <c r="S749" s="842"/>
      <c r="T749" s="852"/>
    </row>
    <row r="750" spans="1:20">
      <c r="D750" s="384"/>
      <c r="E750" s="931"/>
      <c r="F750" s="384"/>
      <c r="G750" s="384"/>
      <c r="H750" s="384"/>
      <c r="I750" s="384"/>
      <c r="J750" s="384"/>
      <c r="K750" s="384"/>
      <c r="L750" s="384"/>
      <c r="M750" s="9"/>
      <c r="N750" s="926"/>
      <c r="O750" s="900"/>
      <c r="P750" s="901"/>
      <c r="Q750" s="874"/>
      <c r="R750" s="874"/>
      <c r="S750" s="841"/>
      <c r="T750" s="854"/>
    </row>
    <row r="751" spans="1:20" ht="25.5">
      <c r="D751" s="220"/>
      <c r="E751" s="127"/>
      <c r="F751" s="123"/>
      <c r="G751" s="124" t="s">
        <v>342</v>
      </c>
      <c r="H751" s="119"/>
      <c r="I751" s="162"/>
      <c r="J751" s="161"/>
      <c r="K751" s="161"/>
      <c r="L751" s="161"/>
      <c r="M751" s="9"/>
      <c r="N751" s="926"/>
      <c r="O751" s="900"/>
      <c r="P751" s="901"/>
      <c r="Q751" s="874"/>
      <c r="R751" s="874"/>
      <c r="S751" s="841"/>
      <c r="T751" s="854"/>
    </row>
    <row r="752" spans="1:20">
      <c r="D752" s="220"/>
      <c r="E752" s="127"/>
      <c r="F752" s="123"/>
      <c r="G752" s="124"/>
      <c r="H752" s="119"/>
      <c r="I752" s="162"/>
      <c r="J752" s="161"/>
      <c r="K752" s="161"/>
      <c r="L752" s="161"/>
      <c r="M752" s="9"/>
      <c r="N752" s="926"/>
      <c r="O752" s="900"/>
      <c r="P752" s="901"/>
      <c r="Q752" s="874"/>
      <c r="R752" s="874"/>
      <c r="S752" s="841"/>
      <c r="T752" s="854"/>
    </row>
    <row r="753" spans="1:20">
      <c r="D753" s="126">
        <v>1</v>
      </c>
      <c r="E753" s="267"/>
      <c r="F753" s="357"/>
      <c r="G753" s="116" t="s">
        <v>1196</v>
      </c>
      <c r="H753" s="267"/>
      <c r="I753" s="358"/>
      <c r="J753" s="358"/>
      <c r="K753" s="358"/>
      <c r="L753" s="358"/>
      <c r="M753" s="9"/>
      <c r="N753" s="926"/>
      <c r="O753" s="900"/>
      <c r="P753" s="901"/>
      <c r="Q753" s="874"/>
      <c r="R753" s="874"/>
      <c r="S753" s="841"/>
      <c r="T753" s="854"/>
    </row>
    <row r="754" spans="1:20">
      <c r="D754" s="126" t="s">
        <v>20</v>
      </c>
      <c r="E754" s="267"/>
      <c r="F754" s="357"/>
      <c r="G754" s="116" t="s">
        <v>766</v>
      </c>
      <c r="H754" s="267"/>
      <c r="I754" s="358"/>
      <c r="J754" s="358"/>
      <c r="K754" s="358"/>
      <c r="L754" s="358"/>
      <c r="M754" s="9"/>
      <c r="N754" s="926"/>
      <c r="O754" s="900"/>
      <c r="P754" s="901"/>
      <c r="Q754" s="874"/>
      <c r="R754" s="874"/>
      <c r="S754" s="841"/>
      <c r="T754" s="854"/>
    </row>
    <row r="755" spans="1:20" s="885" customFormat="1" ht="25.5">
      <c r="A755" s="915"/>
      <c r="B755" s="919"/>
      <c r="C755" s="913"/>
      <c r="D755" s="126" t="s">
        <v>153</v>
      </c>
      <c r="E755" s="940" t="s">
        <v>1894</v>
      </c>
      <c r="F755" s="941"/>
      <c r="G755" s="143" t="s">
        <v>1195</v>
      </c>
      <c r="H755" s="119" t="s">
        <v>326</v>
      </c>
      <c r="I755" s="161">
        <v>2</v>
      </c>
      <c r="J755" s="120">
        <v>2770</v>
      </c>
      <c r="K755" s="120">
        <v>5481</v>
      </c>
      <c r="L755" s="120">
        <v>16.8</v>
      </c>
      <c r="M755" s="9">
        <f t="shared" si="51"/>
        <v>6401.81</v>
      </c>
      <c r="N755" s="899">
        <v>0</v>
      </c>
      <c r="O755" s="900">
        <f t="shared" si="53"/>
        <v>2</v>
      </c>
      <c r="P755" s="901">
        <f t="shared" si="52"/>
        <v>12803.62</v>
      </c>
      <c r="Q755" s="882">
        <v>216</v>
      </c>
      <c r="R755" s="882" t="s">
        <v>2429</v>
      </c>
      <c r="S755" s="883"/>
      <c r="T755" s="884"/>
    </row>
    <row r="756" spans="1:20" s="318" customFormat="1">
      <c r="A756" s="915"/>
      <c r="B756" s="919"/>
      <c r="C756" s="913"/>
      <c r="D756" s="126" t="s">
        <v>19</v>
      </c>
      <c r="E756" s="119"/>
      <c r="F756" s="359"/>
      <c r="G756" s="116" t="s">
        <v>972</v>
      </c>
      <c r="H756" s="119"/>
      <c r="I756" s="161"/>
      <c r="J756" s="120"/>
      <c r="K756" s="120"/>
      <c r="L756" s="120"/>
      <c r="M756" s="9"/>
      <c r="N756" s="926"/>
      <c r="O756" s="900"/>
      <c r="P756" s="901"/>
      <c r="Q756" s="874"/>
      <c r="R756" s="874"/>
      <c r="S756" s="841"/>
      <c r="T756" s="854"/>
    </row>
    <row r="757" spans="1:20" s="885" customFormat="1">
      <c r="A757" s="915"/>
      <c r="B757" s="919"/>
      <c r="C757" s="913"/>
      <c r="D757" s="126" t="s">
        <v>147</v>
      </c>
      <c r="E757" s="119" t="s">
        <v>1193</v>
      </c>
      <c r="F757" s="359"/>
      <c r="G757" s="143" t="s">
        <v>1194</v>
      </c>
      <c r="H757" s="119" t="s">
        <v>246</v>
      </c>
      <c r="I757" s="121">
        <v>2</v>
      </c>
      <c r="J757" s="120">
        <v>67.599999999999994</v>
      </c>
      <c r="K757" s="9">
        <v>203</v>
      </c>
      <c r="L757" s="120">
        <v>16.8</v>
      </c>
      <c r="M757" s="9">
        <f t="shared" si="51"/>
        <v>237.1</v>
      </c>
      <c r="N757" s="899">
        <v>0</v>
      </c>
      <c r="O757" s="900">
        <f t="shared" si="53"/>
        <v>2</v>
      </c>
      <c r="P757" s="901">
        <f t="shared" si="52"/>
        <v>474.2</v>
      </c>
      <c r="Q757" s="882"/>
      <c r="R757" s="882" t="s">
        <v>2449</v>
      </c>
      <c r="S757" s="883"/>
      <c r="T757" s="884"/>
    </row>
    <row r="758" spans="1:20" s="610" customFormat="1">
      <c r="A758" s="915"/>
      <c r="B758" s="919" t="s">
        <v>2457</v>
      </c>
      <c r="C758" s="913"/>
      <c r="D758" s="126" t="s">
        <v>213</v>
      </c>
      <c r="E758" s="944" t="s">
        <v>1895</v>
      </c>
      <c r="F758" s="161"/>
      <c r="G758" s="166" t="s">
        <v>1192</v>
      </c>
      <c r="H758" s="119" t="s">
        <v>246</v>
      </c>
      <c r="I758" s="121">
        <v>2</v>
      </c>
      <c r="J758" s="120">
        <v>78.599999999999994</v>
      </c>
      <c r="K758" s="9">
        <f>J758*$S$3</f>
        <v>102.96599999999999</v>
      </c>
      <c r="L758" s="120">
        <v>16.8</v>
      </c>
      <c r="M758" s="9">
        <f t="shared" si="51"/>
        <v>120.26</v>
      </c>
      <c r="N758" s="899">
        <v>0</v>
      </c>
      <c r="O758" s="900">
        <f t="shared" si="53"/>
        <v>2</v>
      </c>
      <c r="P758" s="901">
        <f t="shared" si="52"/>
        <v>240.52</v>
      </c>
      <c r="Q758" s="873"/>
      <c r="R758" s="873"/>
      <c r="S758" s="840"/>
      <c r="T758" s="853"/>
    </row>
    <row r="759" spans="1:20" s="610" customFormat="1">
      <c r="A759" s="915"/>
      <c r="B759" s="919" t="s">
        <v>2457</v>
      </c>
      <c r="C759" s="913"/>
      <c r="D759" s="126" t="s">
        <v>212</v>
      </c>
      <c r="E759" s="944" t="s">
        <v>1896</v>
      </c>
      <c r="F759" s="120"/>
      <c r="G759" s="143" t="s">
        <v>1191</v>
      </c>
      <c r="H759" s="119" t="s">
        <v>246</v>
      </c>
      <c r="I759" s="121">
        <v>4</v>
      </c>
      <c r="J759" s="120">
        <v>997.5</v>
      </c>
      <c r="K759" s="9">
        <f>J759*$S$3</f>
        <v>1306.7250000000001</v>
      </c>
      <c r="L759" s="120">
        <v>16.8</v>
      </c>
      <c r="M759" s="9">
        <f t="shared" si="51"/>
        <v>1526.25</v>
      </c>
      <c r="N759" s="899">
        <v>0</v>
      </c>
      <c r="O759" s="900">
        <f t="shared" si="53"/>
        <v>4</v>
      </c>
      <c r="P759" s="901">
        <f t="shared" si="52"/>
        <v>6105</v>
      </c>
      <c r="Q759" s="873"/>
      <c r="R759" s="873"/>
      <c r="S759" s="840"/>
      <c r="T759" s="853"/>
    </row>
    <row r="760" spans="1:20" s="318" customFormat="1">
      <c r="A760" s="915"/>
      <c r="B760" s="919"/>
      <c r="C760" s="913"/>
      <c r="D760" s="126" t="s">
        <v>18</v>
      </c>
      <c r="E760" s="119"/>
      <c r="F760" s="359"/>
      <c r="G760" s="143" t="s">
        <v>1190</v>
      </c>
      <c r="H760" s="119"/>
      <c r="I760" s="121"/>
      <c r="J760" s="120"/>
      <c r="K760" s="120"/>
      <c r="L760" s="120"/>
      <c r="M760" s="9"/>
      <c r="N760" s="899"/>
      <c r="O760" s="900"/>
      <c r="P760" s="901"/>
      <c r="Q760" s="874"/>
      <c r="R760" s="874"/>
      <c r="S760" s="841"/>
      <c r="T760" s="854"/>
    </row>
    <row r="761" spans="1:20" s="344" customFormat="1" ht="25.5">
      <c r="A761" s="915"/>
      <c r="B761" s="919"/>
      <c r="C761" s="913"/>
      <c r="D761" s="126" t="s">
        <v>201</v>
      </c>
      <c r="E761" s="805">
        <f>'[3]Plan Tron'!B339</f>
        <v>21013</v>
      </c>
      <c r="F761" s="805" t="str">
        <f>'[3]Plan Tron'!C339</f>
        <v>SINAPI (INSUMO)</v>
      </c>
      <c r="G761" s="643" t="str">
        <f>'[3]Plan Tron'!D339</f>
        <v>TUBO ACO GALVANIZADO COM COSTURA, CLASSE LEVE, DN 50 MM ( 2"), E = 3,00 MM, *4,40*KG/M (NBR 5580)</v>
      </c>
      <c r="H761" s="805" t="str">
        <f>'[3]Plan Tron'!E339</f>
        <v>M</v>
      </c>
      <c r="I761" s="121">
        <f>2*4.1</f>
        <v>8.1999999999999993</v>
      </c>
      <c r="J761" s="120">
        <f>J763</f>
        <v>36.97</v>
      </c>
      <c r="K761" s="120">
        <f>'[3]Plan Tron'!F339</f>
        <v>33.71</v>
      </c>
      <c r="L761" s="120">
        <v>16.8</v>
      </c>
      <c r="M761" s="9">
        <f t="shared" si="51"/>
        <v>39.369999999999997</v>
      </c>
      <c r="N761" s="899">
        <v>0</v>
      </c>
      <c r="O761" s="900">
        <f t="shared" si="53"/>
        <v>8.1999999999999993</v>
      </c>
      <c r="P761" s="901">
        <f t="shared" si="52"/>
        <v>322.83</v>
      </c>
      <c r="Q761" s="874"/>
      <c r="R761" s="874"/>
      <c r="S761" s="841"/>
      <c r="T761" s="854"/>
    </row>
    <row r="762" spans="1:20" s="344" customFormat="1" ht="25.5">
      <c r="A762" s="915"/>
      <c r="B762" s="919"/>
      <c r="C762" s="913"/>
      <c r="D762" s="126" t="s">
        <v>198</v>
      </c>
      <c r="E762" s="805">
        <f>'[3]Plan Tron'!B340</f>
        <v>21014</v>
      </c>
      <c r="F762" s="805" t="str">
        <f>'[3]Plan Tron'!C340</f>
        <v>SINAPI (INSUMO)</v>
      </c>
      <c r="G762" s="643" t="str">
        <f>'[3]Plan Tron'!D340</f>
        <v>TUBO ACO GALVANIZADO COM COSTURA, CLASSE LEVE, DN 65 MM ( 2 1/2"), E = 3,35 MM, *6,23* KG/M (NBR 5580)</v>
      </c>
      <c r="H762" s="805" t="str">
        <f>'[3]Plan Tron'!E340</f>
        <v>M</v>
      </c>
      <c r="I762" s="121">
        <f>0.25*2</f>
        <v>0.5</v>
      </c>
      <c r="J762" s="120">
        <v>47.15</v>
      </c>
      <c r="K762" s="120">
        <f>'[3]Plan Tron'!F340</f>
        <v>47.17</v>
      </c>
      <c r="L762" s="120">
        <v>16.8</v>
      </c>
      <c r="M762" s="9">
        <f t="shared" si="51"/>
        <v>55.09</v>
      </c>
      <c r="N762" s="899">
        <v>0</v>
      </c>
      <c r="O762" s="900">
        <f t="shared" si="53"/>
        <v>0.5</v>
      </c>
      <c r="P762" s="901">
        <f t="shared" si="52"/>
        <v>27.55</v>
      </c>
      <c r="Q762" s="874"/>
      <c r="R762" s="874"/>
      <c r="S762" s="841"/>
      <c r="T762" s="854"/>
    </row>
    <row r="763" spans="1:20" s="344" customFormat="1" ht="25.5">
      <c r="A763" s="915"/>
      <c r="B763" s="919"/>
      <c r="C763" s="913"/>
      <c r="D763" s="126" t="s">
        <v>390</v>
      </c>
      <c r="E763" s="805">
        <f>'[3]Plan Tron'!B245</f>
        <v>21011</v>
      </c>
      <c r="F763" s="805" t="str">
        <f>'[3]Plan Tron'!C245</f>
        <v>SINAPI (INSUMO)</v>
      </c>
      <c r="G763" s="643" t="str">
        <f>'[3]Plan Tron'!D245</f>
        <v>TUBO ACO GALVANIZADO COM COSTURA, CLASSE LEVE, DN 32 MM ( 1 1/4"), E = 2,65 MM, *2,71* KG/M (NBR 5580)</v>
      </c>
      <c r="H763" s="805" t="str">
        <f>'[3]Plan Tron'!E245</f>
        <v>M</v>
      </c>
      <c r="I763" s="121">
        <f>3*0.3</f>
        <v>0.89999999999999991</v>
      </c>
      <c r="J763" s="120">
        <v>36.97</v>
      </c>
      <c r="K763" s="120">
        <f>'[3]Plan Tron'!F245</f>
        <v>23.37</v>
      </c>
      <c r="L763" s="120">
        <v>16.8</v>
      </c>
      <c r="M763" s="9">
        <f t="shared" si="51"/>
        <v>27.3</v>
      </c>
      <c r="N763" s="899">
        <v>0</v>
      </c>
      <c r="O763" s="900">
        <f t="shared" si="53"/>
        <v>0.89999999999999991</v>
      </c>
      <c r="P763" s="901">
        <f t="shared" si="52"/>
        <v>24.57</v>
      </c>
      <c r="Q763" s="874"/>
      <c r="R763" s="874"/>
      <c r="S763" s="841"/>
      <c r="T763" s="854"/>
    </row>
    <row r="764" spans="1:20" s="344" customFormat="1" ht="25.5">
      <c r="A764" s="915"/>
      <c r="B764" s="919"/>
      <c r="C764" s="913"/>
      <c r="D764" s="126" t="s">
        <v>387</v>
      </c>
      <c r="E764" s="805">
        <f>'[3]Plan Tron'!B244</f>
        <v>21012</v>
      </c>
      <c r="F764" s="805" t="str">
        <f>'[3]Plan Tron'!C244</f>
        <v>SINAPI (INSUMO)</v>
      </c>
      <c r="G764" s="643" t="str">
        <f>'[3]Plan Tron'!D244</f>
        <v>TUBO ACO GALVANIZADO COM COSTURA, CLASSE LEVE, DN 40 MM ( 1 1/2"), E = 3,00 MM, *3,48* KG/M (NBR 5580)</v>
      </c>
      <c r="H764" s="805" t="str">
        <f>'[3]Plan Tron'!E244</f>
        <v>M</v>
      </c>
      <c r="I764" s="121">
        <f>2*0.45</f>
        <v>0.9</v>
      </c>
      <c r="J764" s="120">
        <f>J763</f>
        <v>36.97</v>
      </c>
      <c r="K764" s="120">
        <f>'[3]Plan Tron'!F244</f>
        <v>25.83</v>
      </c>
      <c r="L764" s="120">
        <v>16.8</v>
      </c>
      <c r="M764" s="9">
        <f t="shared" si="51"/>
        <v>30.17</v>
      </c>
      <c r="N764" s="899">
        <v>0</v>
      </c>
      <c r="O764" s="900">
        <f t="shared" si="53"/>
        <v>0.9</v>
      </c>
      <c r="P764" s="901">
        <f t="shared" si="52"/>
        <v>27.15</v>
      </c>
      <c r="Q764" s="874"/>
      <c r="R764" s="874"/>
      <c r="S764" s="841"/>
      <c r="T764" s="854"/>
    </row>
    <row r="765" spans="1:20" s="344" customFormat="1" ht="25.5">
      <c r="A765" s="915"/>
      <c r="B765" s="919"/>
      <c r="C765" s="913"/>
      <c r="D765" s="126" t="s">
        <v>384</v>
      </c>
      <c r="E765" s="805">
        <f>'[3]Plan Tron'!B244</f>
        <v>21012</v>
      </c>
      <c r="F765" s="805" t="str">
        <f>'[3]Plan Tron'!C244</f>
        <v>SINAPI (INSUMO)</v>
      </c>
      <c r="G765" s="643" t="str">
        <f>'[3]Plan Tron'!D244</f>
        <v>TUBO ACO GALVANIZADO COM COSTURA, CLASSE LEVE, DN 40 MM ( 1 1/2"), E = 3,00 MM, *3,48* KG/M (NBR 5580)</v>
      </c>
      <c r="H765" s="805" t="str">
        <f>'[3]Plan Tron'!E244</f>
        <v>M</v>
      </c>
      <c r="I765" s="121">
        <f>2*0.1</f>
        <v>0.2</v>
      </c>
      <c r="J765" s="120">
        <v>29.48</v>
      </c>
      <c r="K765" s="120">
        <f>'[3]Plan Tron'!F244</f>
        <v>25.83</v>
      </c>
      <c r="L765" s="120">
        <v>16.8</v>
      </c>
      <c r="M765" s="9">
        <f t="shared" si="51"/>
        <v>30.17</v>
      </c>
      <c r="N765" s="899">
        <v>0</v>
      </c>
      <c r="O765" s="900">
        <f t="shared" si="53"/>
        <v>0.2</v>
      </c>
      <c r="P765" s="901">
        <f t="shared" si="52"/>
        <v>6.03</v>
      </c>
      <c r="Q765" s="874"/>
      <c r="R765" s="874"/>
      <c r="S765" s="841"/>
      <c r="T765" s="854"/>
    </row>
    <row r="766" spans="1:20" s="344" customFormat="1" ht="25.5">
      <c r="A766" s="915"/>
      <c r="B766" s="919"/>
      <c r="C766" s="913"/>
      <c r="D766" s="126" t="s">
        <v>381</v>
      </c>
      <c r="E766" s="805">
        <f>'[3]Plan Tron'!B243</f>
        <v>21014</v>
      </c>
      <c r="F766" s="805" t="str">
        <f>'[3]Plan Tron'!C243</f>
        <v>SINAPI (INSUMO)</v>
      </c>
      <c r="G766" s="643" t="str">
        <f>'[3]Plan Tron'!D243</f>
        <v>TUBO ACO GALVANIZADO COM COSTURA, CLASSE LEVE, DN 65 MM ( 2 1/2"), E = 3,35 MM, *6,23* KG/M (NBR 5580)</v>
      </c>
      <c r="H766" s="805" t="str">
        <f>'[3]Plan Tron'!E243</f>
        <v>M</v>
      </c>
      <c r="I766" s="121">
        <v>0.68</v>
      </c>
      <c r="J766" s="120">
        <f>J763</f>
        <v>36.97</v>
      </c>
      <c r="K766" s="120">
        <f>'[3]Plan Tron'!F243</f>
        <v>47.17</v>
      </c>
      <c r="L766" s="120">
        <v>16.8</v>
      </c>
      <c r="M766" s="9">
        <f t="shared" si="51"/>
        <v>55.09</v>
      </c>
      <c r="N766" s="899">
        <v>0</v>
      </c>
      <c r="O766" s="900">
        <f t="shared" si="53"/>
        <v>0.68</v>
      </c>
      <c r="P766" s="901">
        <f t="shared" si="52"/>
        <v>37.46</v>
      </c>
      <c r="Q766" s="874"/>
      <c r="R766" s="874"/>
      <c r="S766" s="841"/>
      <c r="T766" s="854"/>
    </row>
    <row r="767" spans="1:20" s="344" customFormat="1" ht="25.5">
      <c r="A767" s="915"/>
      <c r="B767" s="919"/>
      <c r="C767" s="913"/>
      <c r="D767" s="126" t="s">
        <v>378</v>
      </c>
      <c r="E767" s="805">
        <f>'[3]Plan Tron'!B246</f>
        <v>21010</v>
      </c>
      <c r="F767" s="805" t="str">
        <f>'[3]Plan Tron'!C246</f>
        <v>SINAPI (INSUMO)</v>
      </c>
      <c r="G767" s="643" t="str">
        <f>'[3]Plan Tron'!D246</f>
        <v>TUBO ACO GALVANIZADO COM COSTURA, CLASSE LEVE, DN 25 MM ( 1"), E = 2,65 MM, *2,11* KG/M (NBR 5580)</v>
      </c>
      <c r="H767" s="805" t="str">
        <f>'[3]Plan Tron'!E246</f>
        <v>M</v>
      </c>
      <c r="I767" s="121">
        <v>0.25</v>
      </c>
      <c r="J767" s="120">
        <f>J763</f>
        <v>36.97</v>
      </c>
      <c r="K767" s="120">
        <f>'[3]Plan Tron'!F246</f>
        <v>16.04</v>
      </c>
      <c r="L767" s="120">
        <v>16.8</v>
      </c>
      <c r="M767" s="9">
        <f t="shared" si="51"/>
        <v>18.73</v>
      </c>
      <c r="N767" s="899">
        <v>0</v>
      </c>
      <c r="O767" s="900">
        <f t="shared" si="53"/>
        <v>0.25</v>
      </c>
      <c r="P767" s="901">
        <f t="shared" si="52"/>
        <v>4.68</v>
      </c>
      <c r="Q767" s="874"/>
      <c r="R767" s="874"/>
      <c r="S767" s="841"/>
      <c r="T767" s="854"/>
    </row>
    <row r="768" spans="1:20" s="800" customFormat="1" ht="25.5">
      <c r="A768" s="915"/>
      <c r="B768" s="919"/>
      <c r="C768" s="913"/>
      <c r="D768" s="126" t="s">
        <v>777</v>
      </c>
      <c r="E768" s="827" t="s">
        <v>1858</v>
      </c>
      <c r="F768" s="805" t="s">
        <v>2017</v>
      </c>
      <c r="G768" s="143" t="s">
        <v>1189</v>
      </c>
      <c r="H768" s="119" t="s">
        <v>110</v>
      </c>
      <c r="I768" s="121">
        <v>1.05</v>
      </c>
      <c r="J768" s="120">
        <f>J763</f>
        <v>36.97</v>
      </c>
      <c r="K768" s="9">
        <f>J768*$S$3</f>
        <v>48.430700000000002</v>
      </c>
      <c r="L768" s="120">
        <v>16.8</v>
      </c>
      <c r="M768" s="9">
        <f t="shared" si="51"/>
        <v>56.57</v>
      </c>
      <c r="N768" s="899">
        <v>0</v>
      </c>
      <c r="O768" s="900">
        <f t="shared" si="53"/>
        <v>1.05</v>
      </c>
      <c r="P768" s="901">
        <f t="shared" si="52"/>
        <v>59.4</v>
      </c>
      <c r="Q768" s="875"/>
      <c r="R768" s="875"/>
      <c r="S768" s="844"/>
      <c r="T768" s="857"/>
    </row>
    <row r="769" spans="1:20" s="800" customFormat="1" ht="25.5">
      <c r="A769" s="915"/>
      <c r="B769" s="919"/>
      <c r="C769" s="913"/>
      <c r="D769" s="126" t="s">
        <v>776</v>
      </c>
      <c r="E769" s="827" t="s">
        <v>1858</v>
      </c>
      <c r="F769" s="805" t="s">
        <v>2017</v>
      </c>
      <c r="G769" s="143" t="s">
        <v>1188</v>
      </c>
      <c r="H769" s="119" t="s">
        <v>110</v>
      </c>
      <c r="I769" s="121">
        <v>3.75</v>
      </c>
      <c r="J769" s="120">
        <f>J763</f>
        <v>36.97</v>
      </c>
      <c r="K769" s="9">
        <f>J769*$S$3</f>
        <v>48.430700000000002</v>
      </c>
      <c r="L769" s="120">
        <v>16.8</v>
      </c>
      <c r="M769" s="9">
        <f t="shared" si="51"/>
        <v>56.57</v>
      </c>
      <c r="N769" s="899">
        <v>0</v>
      </c>
      <c r="O769" s="900">
        <f t="shared" si="53"/>
        <v>3.75</v>
      </c>
      <c r="P769" s="901">
        <f t="shared" si="52"/>
        <v>212.14</v>
      </c>
      <c r="Q769" s="875"/>
      <c r="R769" s="875"/>
      <c r="S769" s="844"/>
      <c r="T769" s="857"/>
    </row>
    <row r="770" spans="1:20" s="800" customFormat="1" ht="25.5">
      <c r="A770" s="915"/>
      <c r="B770" s="919"/>
      <c r="C770" s="913"/>
      <c r="D770" s="126" t="s">
        <v>775</v>
      </c>
      <c r="E770" s="827" t="s">
        <v>903</v>
      </c>
      <c r="F770" s="805" t="s">
        <v>2017</v>
      </c>
      <c r="G770" s="143" t="s">
        <v>1187</v>
      </c>
      <c r="H770" s="119" t="s">
        <v>110</v>
      </c>
      <c r="I770" s="121">
        <v>1.4</v>
      </c>
      <c r="J770" s="120">
        <v>36.97</v>
      </c>
      <c r="K770" s="9">
        <f>J770*$S$3</f>
        <v>48.430700000000002</v>
      </c>
      <c r="L770" s="120">
        <v>16.8</v>
      </c>
      <c r="M770" s="9">
        <f t="shared" si="51"/>
        <v>56.57</v>
      </c>
      <c r="N770" s="899">
        <v>0</v>
      </c>
      <c r="O770" s="900">
        <f t="shared" si="53"/>
        <v>1.4</v>
      </c>
      <c r="P770" s="901">
        <f t="shared" si="52"/>
        <v>79.2</v>
      </c>
      <c r="Q770" s="875"/>
      <c r="R770" s="875"/>
      <c r="S770" s="844"/>
      <c r="T770" s="857"/>
    </row>
    <row r="771" spans="1:20" s="318" customFormat="1">
      <c r="A771" s="915"/>
      <c r="B771" s="919"/>
      <c r="C771" s="913"/>
      <c r="D771" s="126" t="s">
        <v>17</v>
      </c>
      <c r="E771" s="827"/>
      <c r="F771" s="117"/>
      <c r="G771" s="143" t="s">
        <v>1186</v>
      </c>
      <c r="H771" s="119"/>
      <c r="I771" s="121"/>
      <c r="J771" s="120"/>
      <c r="K771" s="120"/>
      <c r="L771" s="120"/>
      <c r="M771" s="9"/>
      <c r="N771" s="899"/>
      <c r="O771" s="900"/>
      <c r="P771" s="901"/>
      <c r="Q771" s="874"/>
      <c r="R771" s="874"/>
      <c r="S771" s="841"/>
      <c r="T771" s="854"/>
    </row>
    <row r="772" spans="1:20" s="344" customFormat="1" ht="25.5">
      <c r="A772" s="915"/>
      <c r="B772" s="919"/>
      <c r="C772" s="913"/>
      <c r="D772" s="126" t="s">
        <v>195</v>
      </c>
      <c r="E772" s="805">
        <f>'[3]Plan Tron'!B341</f>
        <v>1790</v>
      </c>
      <c r="F772" s="805" t="str">
        <f>'[3]Plan Tron'!C341</f>
        <v>SINAPI (INSUMO)</v>
      </c>
      <c r="G772" s="643" t="str">
        <f>'[3]Plan Tron'!D341</f>
        <v xml:space="preserve">CURVA 90 GRAUS DE FERRO GALVANIZADO, COM ROSCA BSP FEMEA, DE 2" </v>
      </c>
      <c r="H772" s="805" t="str">
        <f>'[3]Plan Tron'!E341</f>
        <v>UN</v>
      </c>
      <c r="I772" s="121">
        <v>8</v>
      </c>
      <c r="J772" s="120">
        <v>83.47</v>
      </c>
      <c r="K772" s="120">
        <f>'[3]Plan Tron'!F341</f>
        <v>73.31</v>
      </c>
      <c r="L772" s="120">
        <v>16.8</v>
      </c>
      <c r="M772" s="9">
        <f t="shared" si="51"/>
        <v>85.63</v>
      </c>
      <c r="N772" s="899">
        <v>0</v>
      </c>
      <c r="O772" s="900">
        <f t="shared" si="53"/>
        <v>8</v>
      </c>
      <c r="P772" s="901">
        <f t="shared" si="52"/>
        <v>685.04</v>
      </c>
      <c r="Q772" s="874"/>
      <c r="R772" s="874"/>
      <c r="S772" s="841"/>
      <c r="T772" s="854"/>
    </row>
    <row r="773" spans="1:20" s="344" customFormat="1" ht="25.5">
      <c r="A773" s="915"/>
      <c r="B773" s="919"/>
      <c r="C773" s="913"/>
      <c r="D773" s="126" t="s">
        <v>192</v>
      </c>
      <c r="E773" s="805">
        <f>'[3]Plan Tron'!B342</f>
        <v>4181</v>
      </c>
      <c r="F773" s="805" t="str">
        <f>'[3]Plan Tron'!C342</f>
        <v>SINAPI (INSUMO)</v>
      </c>
      <c r="G773" s="643" t="str">
        <f>'[3]Plan Tron'!D342</f>
        <v xml:space="preserve">NIPLE DE FERRO GALVANIZADO, COM ROSCA BSP, DE 2" </v>
      </c>
      <c r="H773" s="805" t="str">
        <f>'[3]Plan Tron'!E342</f>
        <v>UN</v>
      </c>
      <c r="I773" s="121">
        <v>6</v>
      </c>
      <c r="J773" s="120">
        <v>19.489999999999998</v>
      </c>
      <c r="K773" s="120">
        <f>'[3]Plan Tron'!F342</f>
        <v>19.489999999999998</v>
      </c>
      <c r="L773" s="120">
        <v>16.8</v>
      </c>
      <c r="M773" s="9">
        <f t="shared" si="51"/>
        <v>22.76</v>
      </c>
      <c r="N773" s="899">
        <v>0</v>
      </c>
      <c r="O773" s="900">
        <f t="shared" si="53"/>
        <v>6</v>
      </c>
      <c r="P773" s="901">
        <f t="shared" si="52"/>
        <v>136.56</v>
      </c>
      <c r="Q773" s="874"/>
      <c r="R773" s="874"/>
      <c r="S773" s="841"/>
      <c r="T773" s="854"/>
    </row>
    <row r="774" spans="1:20" s="344" customFormat="1" ht="25.5">
      <c r="A774" s="915"/>
      <c r="B774" s="919"/>
      <c r="C774" s="913"/>
      <c r="D774" s="126" t="s">
        <v>280</v>
      </c>
      <c r="E774" s="805">
        <f>'[3]Plan Tron'!B343</f>
        <v>4197</v>
      </c>
      <c r="F774" s="805" t="str">
        <f>'[3]Plan Tron'!C343</f>
        <v>SINAPI (INSUMO)</v>
      </c>
      <c r="G774" s="643" t="str">
        <f>'[3]Plan Tron'!D343</f>
        <v xml:space="preserve">NIPLE DE REDUCAO DE FERRO GALVANIZADO, COM ROSCA BSP, DE 2 1/2" X 2" </v>
      </c>
      <c r="H774" s="805" t="str">
        <f>'[3]Plan Tron'!E343</f>
        <v>UN</v>
      </c>
      <c r="I774" s="121">
        <v>2</v>
      </c>
      <c r="J774" s="120">
        <v>27.07</v>
      </c>
      <c r="K774" s="120">
        <f>'[3]Plan Tron'!F343</f>
        <v>41.33</v>
      </c>
      <c r="L774" s="120">
        <v>16.8</v>
      </c>
      <c r="M774" s="9">
        <f t="shared" si="51"/>
        <v>48.27</v>
      </c>
      <c r="N774" s="899">
        <v>0</v>
      </c>
      <c r="O774" s="900">
        <f t="shared" si="53"/>
        <v>2</v>
      </c>
      <c r="P774" s="901">
        <f t="shared" si="52"/>
        <v>96.54</v>
      </c>
      <c r="Q774" s="874"/>
      <c r="R774" s="874"/>
      <c r="S774" s="841"/>
      <c r="T774" s="854"/>
    </row>
    <row r="775" spans="1:20" s="344" customFormat="1" ht="25.5">
      <c r="A775" s="915"/>
      <c r="B775" s="919"/>
      <c r="C775" s="913"/>
      <c r="D775" s="126" t="s">
        <v>277</v>
      </c>
      <c r="E775" s="805">
        <f>'[3]Plan Tron'!B344</f>
        <v>3913</v>
      </c>
      <c r="F775" s="805" t="str">
        <f>'[3]Plan Tron'!C344</f>
        <v>SINAPI (INSUMO)</v>
      </c>
      <c r="G775" s="643" t="str">
        <f>'[3]Plan Tron'!D344</f>
        <v xml:space="preserve"> LUVA DE FERRO GALVANIZADO, COM ROSCA BSP, DE 2 1/2" </v>
      </c>
      <c r="H775" s="805" t="str">
        <f>'[3]Plan Tron'!E344</f>
        <v>UN</v>
      </c>
      <c r="I775" s="121">
        <v>2</v>
      </c>
      <c r="J775" s="120">
        <v>35.380000000000003</v>
      </c>
      <c r="K775" s="120">
        <f>'[3]Plan Tron'!F344</f>
        <v>35.54</v>
      </c>
      <c r="L775" s="120">
        <v>16.8</v>
      </c>
      <c r="M775" s="9">
        <f t="shared" si="51"/>
        <v>41.51</v>
      </c>
      <c r="N775" s="899">
        <v>0</v>
      </c>
      <c r="O775" s="900">
        <f t="shared" si="53"/>
        <v>2</v>
      </c>
      <c r="P775" s="901">
        <f t="shared" si="52"/>
        <v>83.02</v>
      </c>
      <c r="Q775" s="874"/>
      <c r="R775" s="874"/>
      <c r="S775" s="841"/>
      <c r="T775" s="854"/>
    </row>
    <row r="776" spans="1:20" s="344" customFormat="1" ht="25.5">
      <c r="A776" s="915"/>
      <c r="B776" s="919"/>
      <c r="C776" s="913"/>
      <c r="D776" s="126" t="s">
        <v>275</v>
      </c>
      <c r="E776" s="805">
        <f>'[3]Plan Tron'!B345</f>
        <v>788</v>
      </c>
      <c r="F776" s="805" t="str">
        <f>'[3]Plan Tron'!C345</f>
        <v>SINAPI (INSUMO)</v>
      </c>
      <c r="G776" s="643" t="str">
        <f>'[3]Plan Tron'!D345</f>
        <v xml:space="preserve">BUCHA DE REDUCAO DE FERRO GALVANIZADO, COM ROSCA BSP, DE 2" X 1 1/2" </v>
      </c>
      <c r="H776" s="805" t="str">
        <f>'[3]Plan Tron'!E345</f>
        <v>UN</v>
      </c>
      <c r="I776" s="121">
        <v>2</v>
      </c>
      <c r="J776" s="120">
        <v>12.28</v>
      </c>
      <c r="K776" s="120">
        <f>'[3]Plan Tron'!F345</f>
        <v>15.41</v>
      </c>
      <c r="L776" s="120">
        <v>16.8</v>
      </c>
      <c r="M776" s="9">
        <f t="shared" si="51"/>
        <v>18</v>
      </c>
      <c r="N776" s="899">
        <v>0</v>
      </c>
      <c r="O776" s="900">
        <f t="shared" si="53"/>
        <v>2</v>
      </c>
      <c r="P776" s="901">
        <f t="shared" si="52"/>
        <v>36</v>
      </c>
      <c r="Q776" s="874"/>
      <c r="R776" s="874"/>
      <c r="S776" s="841"/>
      <c r="T776" s="854"/>
    </row>
    <row r="777" spans="1:20" s="344" customFormat="1" ht="25.5">
      <c r="A777" s="915"/>
      <c r="B777" s="919"/>
      <c r="C777" s="913"/>
      <c r="D777" s="126" t="s">
        <v>274</v>
      </c>
      <c r="E777" s="805">
        <f>'[3]Plan Tron'!B346</f>
        <v>3912</v>
      </c>
      <c r="F777" s="805" t="str">
        <f>'[3]Plan Tron'!C346</f>
        <v>SINAPI (INSUMO)</v>
      </c>
      <c r="G777" s="643" t="str">
        <f>'[3]Plan Tron'!D346</f>
        <v xml:space="preserve">LUVA DE FERRO GALVANIZADO, COM ROSCA BSP, DE 2" </v>
      </c>
      <c r="H777" s="805" t="str">
        <f>'[3]Plan Tron'!E346</f>
        <v>UN</v>
      </c>
      <c r="I777" s="121">
        <v>3</v>
      </c>
      <c r="J777" s="120">
        <v>18.48</v>
      </c>
      <c r="K777" s="120">
        <f>'[3]Plan Tron'!F346</f>
        <v>19.48</v>
      </c>
      <c r="L777" s="120">
        <v>16.8</v>
      </c>
      <c r="M777" s="9">
        <f t="shared" si="51"/>
        <v>22.75</v>
      </c>
      <c r="N777" s="899">
        <v>0</v>
      </c>
      <c r="O777" s="900">
        <f t="shared" si="53"/>
        <v>3</v>
      </c>
      <c r="P777" s="901">
        <f t="shared" si="52"/>
        <v>68.25</v>
      </c>
      <c r="Q777" s="874"/>
      <c r="R777" s="874"/>
      <c r="S777" s="841"/>
      <c r="T777" s="854"/>
    </row>
    <row r="778" spans="1:20" s="318" customFormat="1">
      <c r="A778" s="915"/>
      <c r="B778" s="919"/>
      <c r="C778" s="913"/>
      <c r="D778" s="126"/>
      <c r="E778" s="827"/>
      <c r="F778" s="117"/>
      <c r="G778" s="143"/>
      <c r="H778" s="119"/>
      <c r="I778" s="121"/>
      <c r="J778" s="120"/>
      <c r="K778" s="120"/>
      <c r="L778" s="120"/>
      <c r="M778" s="9"/>
      <c r="N778" s="899"/>
      <c r="O778" s="900"/>
      <c r="P778" s="901"/>
      <c r="Q778" s="874"/>
      <c r="R778" s="874"/>
      <c r="S778" s="841"/>
      <c r="T778" s="854"/>
    </row>
    <row r="779" spans="1:20" s="318" customFormat="1">
      <c r="A779" s="915"/>
      <c r="B779" s="919"/>
      <c r="C779" s="913"/>
      <c r="D779" s="126"/>
      <c r="E779" s="827"/>
      <c r="F779" s="117"/>
      <c r="G779" s="143"/>
      <c r="H779" s="119"/>
      <c r="I779" s="121"/>
      <c r="J779" s="120"/>
      <c r="K779" s="120"/>
      <c r="L779" s="120"/>
      <c r="M779" s="9"/>
      <c r="N779" s="899"/>
      <c r="O779" s="900"/>
      <c r="P779" s="901"/>
      <c r="Q779" s="874"/>
      <c r="R779" s="874"/>
      <c r="S779" s="841"/>
      <c r="T779" s="854"/>
    </row>
    <row r="780" spans="1:20" s="344" customFormat="1" ht="25.5">
      <c r="A780" s="915"/>
      <c r="B780" s="919"/>
      <c r="C780" s="913"/>
      <c r="D780" s="126" t="s">
        <v>272</v>
      </c>
      <c r="E780" s="805">
        <f>'[3]Plan Tron'!B347</f>
        <v>6298</v>
      </c>
      <c r="F780" s="805" t="str">
        <f>'[3]Plan Tron'!C347</f>
        <v>SINAPI (INSUMO)</v>
      </c>
      <c r="G780" s="643" t="str">
        <f>'[3]Plan Tron'!D347</f>
        <v xml:space="preserve">TE DE FERRO GALVANIZADO, DE 2" </v>
      </c>
      <c r="H780" s="805" t="str">
        <f>'[3]Plan Tron'!E347</f>
        <v>UN</v>
      </c>
      <c r="I780" s="121">
        <v>1</v>
      </c>
      <c r="J780" s="120">
        <v>34.729999999999997</v>
      </c>
      <c r="K780" s="120">
        <f>'[3]Plan Tron'!F347</f>
        <v>36.79</v>
      </c>
      <c r="L780" s="120">
        <v>16.8</v>
      </c>
      <c r="M780" s="9">
        <f t="shared" si="51"/>
        <v>42.97</v>
      </c>
      <c r="N780" s="899">
        <v>0</v>
      </c>
      <c r="O780" s="900">
        <f t="shared" si="53"/>
        <v>1</v>
      </c>
      <c r="P780" s="901">
        <f t="shared" si="52"/>
        <v>42.97</v>
      </c>
      <c r="Q780" s="874"/>
      <c r="R780" s="874"/>
      <c r="S780" s="841"/>
      <c r="T780" s="854"/>
    </row>
    <row r="781" spans="1:20" s="344" customFormat="1" ht="25.5">
      <c r="A781" s="915"/>
      <c r="B781" s="919"/>
      <c r="C781" s="913"/>
      <c r="D781" s="126" t="s">
        <v>271</v>
      </c>
      <c r="E781" s="805">
        <f>'[3]Plan Tron'!B348</f>
        <v>12437</v>
      </c>
      <c r="F781" s="805" t="str">
        <f>'[3]Plan Tron'!C348</f>
        <v>SINAPI (INSUMO)</v>
      </c>
      <c r="G781" s="643" t="str">
        <f>'[3]Plan Tron'!D348</f>
        <v xml:space="preserve">UNIAO COM ASSENTO CONICO DE FERRO LONGO (MACHO-FEMEA), DIAMETRO 2" </v>
      </c>
      <c r="H781" s="805" t="str">
        <f>'[3]Plan Tron'!E348</f>
        <v>UN</v>
      </c>
      <c r="I781" s="121">
        <v>1</v>
      </c>
      <c r="J781" s="161">
        <v>56.73</v>
      </c>
      <c r="K781" s="120">
        <f>'[3]Plan Tron'!F348</f>
        <v>129.36000000000001</v>
      </c>
      <c r="L781" s="120">
        <v>16.8</v>
      </c>
      <c r="M781" s="9">
        <f t="shared" si="51"/>
        <v>151.09</v>
      </c>
      <c r="N781" s="899">
        <v>0</v>
      </c>
      <c r="O781" s="900">
        <f t="shared" si="53"/>
        <v>1</v>
      </c>
      <c r="P781" s="901">
        <f t="shared" si="52"/>
        <v>151.09</v>
      </c>
      <c r="Q781" s="874"/>
      <c r="R781" s="874"/>
      <c r="S781" s="841"/>
      <c r="T781" s="854"/>
    </row>
    <row r="782" spans="1:20" s="344" customFormat="1">
      <c r="A782" s="915"/>
      <c r="B782" s="919"/>
      <c r="C782" s="913"/>
      <c r="D782" s="126" t="s">
        <v>16</v>
      </c>
      <c r="E782" s="827"/>
      <c r="F782" s="117"/>
      <c r="G782" s="143" t="s">
        <v>700</v>
      </c>
      <c r="H782" s="119"/>
      <c r="I782" s="121"/>
      <c r="J782" s="161"/>
      <c r="K782" s="161"/>
      <c r="L782" s="120"/>
      <c r="M782" s="9">
        <f t="shared" si="51"/>
        <v>0</v>
      </c>
      <c r="N782" s="899"/>
      <c r="O782" s="900">
        <f t="shared" si="53"/>
        <v>0</v>
      </c>
      <c r="P782" s="901">
        <f t="shared" si="52"/>
        <v>0</v>
      </c>
      <c r="Q782" s="874"/>
      <c r="R782" s="874"/>
      <c r="S782" s="841"/>
      <c r="T782" s="854"/>
    </row>
    <row r="783" spans="1:20" s="344" customFormat="1" ht="25.5">
      <c r="A783" s="915"/>
      <c r="B783" s="919"/>
      <c r="C783" s="913"/>
      <c r="D783" s="126" t="s">
        <v>270</v>
      </c>
      <c r="E783" s="805">
        <f>'[3]Plan Tron'!B349</f>
        <v>113</v>
      </c>
      <c r="F783" s="805" t="str">
        <f>'[3]Plan Tron'!C349</f>
        <v>SINAPI (INSUMO)</v>
      </c>
      <c r="G783" s="643" t="str">
        <f>'[3]Plan Tron'!D349</f>
        <v xml:space="preserve">ADAPTADOR PVC SOLDAVEL CURTO COM BOLSA E ROSCA, 60 MM X 2", PARA AGUA FRIA </v>
      </c>
      <c r="H783" s="805" t="str">
        <f>'[3]Plan Tron'!E349</f>
        <v>UN</v>
      </c>
      <c r="I783" s="121">
        <v>1</v>
      </c>
      <c r="J783" s="161">
        <v>8.6999999999999993</v>
      </c>
      <c r="K783" s="161">
        <f>'[3]Plan Tron'!F349</f>
        <v>7.71</v>
      </c>
      <c r="L783" s="120">
        <v>16.8</v>
      </c>
      <c r="M783" s="9">
        <f t="shared" si="51"/>
        <v>9.01</v>
      </c>
      <c r="N783" s="899">
        <v>0</v>
      </c>
      <c r="O783" s="900">
        <f t="shared" si="53"/>
        <v>1</v>
      </c>
      <c r="P783" s="901">
        <f t="shared" si="52"/>
        <v>9.01</v>
      </c>
      <c r="Q783" s="874"/>
      <c r="R783" s="874"/>
      <c r="S783" s="841"/>
      <c r="T783" s="854"/>
    </row>
    <row r="784" spans="1:20" s="344" customFormat="1" ht="25.5">
      <c r="A784" s="915"/>
      <c r="B784" s="919"/>
      <c r="C784" s="913"/>
      <c r="D784" s="126" t="s">
        <v>369</v>
      </c>
      <c r="E784" s="805">
        <f>'[3]Plan Tron'!B350</f>
        <v>3539</v>
      </c>
      <c r="F784" s="805" t="str">
        <f>'[3]Plan Tron'!C350</f>
        <v>SINAPI (INSUMO)</v>
      </c>
      <c r="G784" s="643" t="str">
        <f>'[3]Plan Tron'!D350</f>
        <v>JOELHO PVC, SOLDAVEL, 90 GRAUS, 60 MM, PARA AGUA FRIA PREDIAL</v>
      </c>
      <c r="H784" s="805" t="str">
        <f>'[3]Plan Tron'!E350</f>
        <v>UN</v>
      </c>
      <c r="I784" s="121">
        <v>22</v>
      </c>
      <c r="J784" s="161">
        <v>17.05</v>
      </c>
      <c r="K784" s="161">
        <f>'[3]Plan Tron'!F350</f>
        <v>21.17</v>
      </c>
      <c r="L784" s="120">
        <v>16.8</v>
      </c>
      <c r="M784" s="9">
        <f t="shared" si="51"/>
        <v>24.73</v>
      </c>
      <c r="N784" s="899">
        <v>0</v>
      </c>
      <c r="O784" s="900">
        <f t="shared" si="53"/>
        <v>22</v>
      </c>
      <c r="P784" s="901">
        <f t="shared" si="52"/>
        <v>544.05999999999995</v>
      </c>
      <c r="Q784" s="874"/>
      <c r="R784" s="874"/>
      <c r="S784" s="841"/>
      <c r="T784" s="854"/>
    </row>
    <row r="785" spans="1:20" s="344" customFormat="1" ht="25.5">
      <c r="A785" s="915"/>
      <c r="B785" s="919"/>
      <c r="C785" s="913"/>
      <c r="D785" s="126" t="s">
        <v>367</v>
      </c>
      <c r="E785" s="805">
        <f>'[3]Plan Tron'!B351</f>
        <v>1195</v>
      </c>
      <c r="F785" s="805" t="str">
        <f>'[3]Plan Tron'!C351</f>
        <v>SINAPI (INSUMO)</v>
      </c>
      <c r="G785" s="643" t="str">
        <f>'[3]Plan Tron'!D351</f>
        <v xml:space="preserve">CAP PVC, SOLDAVEL, 60 MM, PARA AGUA FRIA PREDIAL </v>
      </c>
      <c r="H785" s="805" t="str">
        <f>'[3]Plan Tron'!E351</f>
        <v>UN</v>
      </c>
      <c r="I785" s="161">
        <v>1</v>
      </c>
      <c r="J785" s="161">
        <v>3.84</v>
      </c>
      <c r="K785" s="161">
        <f>'[3]Plan Tron'!F351</f>
        <v>8.35</v>
      </c>
      <c r="L785" s="120">
        <v>16.8</v>
      </c>
      <c r="M785" s="9">
        <f t="shared" ref="M785:M837" si="54">ROUND(K785*(L785/100+1),2)</f>
        <v>9.75</v>
      </c>
      <c r="N785" s="899">
        <v>0</v>
      </c>
      <c r="O785" s="900">
        <f t="shared" si="53"/>
        <v>1</v>
      </c>
      <c r="P785" s="901">
        <f t="shared" ref="P785:P837" si="55">ROUND(O785*M785,2)</f>
        <v>9.75</v>
      </c>
      <c r="Q785" s="874"/>
      <c r="R785" s="874"/>
      <c r="S785" s="841"/>
      <c r="T785" s="854"/>
    </row>
    <row r="786" spans="1:20" s="344" customFormat="1">
      <c r="A786" s="915"/>
      <c r="B786" s="919"/>
      <c r="C786" s="913"/>
      <c r="D786" s="126" t="s">
        <v>15</v>
      </c>
      <c r="E786" s="827"/>
      <c r="F786" s="117"/>
      <c r="G786" s="143" t="s">
        <v>703</v>
      </c>
      <c r="H786" s="119"/>
      <c r="I786" s="161"/>
      <c r="J786" s="161"/>
      <c r="K786" s="161"/>
      <c r="L786" s="120"/>
      <c r="M786" s="9"/>
      <c r="N786" s="899"/>
      <c r="O786" s="900"/>
      <c r="P786" s="901"/>
      <c r="Q786" s="874"/>
      <c r="R786" s="874"/>
      <c r="S786" s="841"/>
      <c r="T786" s="854"/>
    </row>
    <row r="787" spans="1:20" s="344" customFormat="1" ht="25.5">
      <c r="A787" s="915"/>
      <c r="B787" s="919"/>
      <c r="C787" s="913"/>
      <c r="D787" s="126" t="s">
        <v>249</v>
      </c>
      <c r="E787" s="805">
        <f>'[3]Plan Tron'!B352</f>
        <v>9873</v>
      </c>
      <c r="F787" s="805" t="str">
        <f>'[3]Plan Tron'!C352</f>
        <v>SINAPI (INSUMO)</v>
      </c>
      <c r="G787" s="643" t="str">
        <f>'[3]Plan Tron'!D352</f>
        <v xml:space="preserve">TUBO PVC, SOLDAVEL, DN 60 MM, AGUA FRIA (NBR-5648) </v>
      </c>
      <c r="H787" s="805" t="str">
        <f>'[3]Plan Tron'!E352</f>
        <v>M</v>
      </c>
      <c r="I787" s="121">
        <v>227</v>
      </c>
      <c r="J787" s="161">
        <v>17.39</v>
      </c>
      <c r="K787" s="161">
        <f>'[3]Plan Tron'!F352</f>
        <v>16.38</v>
      </c>
      <c r="L787" s="120">
        <v>16.8</v>
      </c>
      <c r="M787" s="9">
        <f t="shared" si="54"/>
        <v>19.13</v>
      </c>
      <c r="N787" s="899">
        <v>0</v>
      </c>
      <c r="O787" s="900">
        <f t="shared" si="53"/>
        <v>227</v>
      </c>
      <c r="P787" s="901">
        <f t="shared" si="55"/>
        <v>4342.51</v>
      </c>
      <c r="Q787" s="874"/>
      <c r="R787" s="874"/>
      <c r="S787" s="841"/>
      <c r="T787" s="854"/>
    </row>
    <row r="788" spans="1:20" s="318" customFormat="1">
      <c r="A788" s="915"/>
      <c r="B788" s="919"/>
      <c r="C788" s="913"/>
      <c r="D788" s="126" t="s">
        <v>14</v>
      </c>
      <c r="E788" s="827"/>
      <c r="F788" s="117"/>
      <c r="G788" s="143" t="s">
        <v>325</v>
      </c>
      <c r="H788" s="119"/>
      <c r="I788" s="161"/>
      <c r="J788" s="161"/>
      <c r="K788" s="161"/>
      <c r="L788" s="120"/>
      <c r="M788" s="9"/>
      <c r="N788" s="899"/>
      <c r="O788" s="900"/>
      <c r="P788" s="901"/>
      <c r="Q788" s="874"/>
      <c r="R788" s="874"/>
      <c r="S788" s="841"/>
      <c r="T788" s="854"/>
    </row>
    <row r="789" spans="1:20" s="610" customFormat="1">
      <c r="A789" s="915"/>
      <c r="B789" s="919" t="s">
        <v>2457</v>
      </c>
      <c r="C789" s="913"/>
      <c r="D789" s="126" t="s">
        <v>181</v>
      </c>
      <c r="E789" s="827" t="s">
        <v>581</v>
      </c>
      <c r="F789" s="117"/>
      <c r="G789" s="143" t="s">
        <v>1185</v>
      </c>
      <c r="H789" s="119" t="s">
        <v>326</v>
      </c>
      <c r="I789" s="121">
        <v>1</v>
      </c>
      <c r="J789" s="120">
        <v>59.55</v>
      </c>
      <c r="K789" s="9">
        <f>J789*$S$3</f>
        <v>78.010499999999993</v>
      </c>
      <c r="L789" s="120">
        <v>16.8</v>
      </c>
      <c r="M789" s="9">
        <f t="shared" si="54"/>
        <v>91.12</v>
      </c>
      <c r="N789" s="899">
        <v>0</v>
      </c>
      <c r="O789" s="900">
        <f t="shared" si="53"/>
        <v>1</v>
      </c>
      <c r="P789" s="901">
        <f t="shared" si="55"/>
        <v>91.12</v>
      </c>
      <c r="Q789" s="873"/>
      <c r="R789" s="873"/>
      <c r="S789" s="840"/>
      <c r="T789" s="853"/>
    </row>
    <row r="790" spans="1:20" s="610" customFormat="1">
      <c r="A790" s="915"/>
      <c r="B790" s="919" t="s">
        <v>2457</v>
      </c>
      <c r="C790" s="913"/>
      <c r="D790" s="126" t="s">
        <v>180</v>
      </c>
      <c r="E790" s="944" t="s">
        <v>1870</v>
      </c>
      <c r="F790" s="120"/>
      <c r="G790" s="143" t="s">
        <v>1184</v>
      </c>
      <c r="H790" s="119" t="s">
        <v>326</v>
      </c>
      <c r="I790" s="161">
        <v>4</v>
      </c>
      <c r="J790" s="161">
        <v>5.19</v>
      </c>
      <c r="K790" s="9">
        <f>J790*$S$3</f>
        <v>6.7989000000000006</v>
      </c>
      <c r="L790" s="120">
        <v>16.8</v>
      </c>
      <c r="M790" s="9">
        <f t="shared" si="54"/>
        <v>7.94</v>
      </c>
      <c r="N790" s="899">
        <v>0</v>
      </c>
      <c r="O790" s="900">
        <f t="shared" si="53"/>
        <v>4</v>
      </c>
      <c r="P790" s="901">
        <f t="shared" si="55"/>
        <v>31.76</v>
      </c>
      <c r="Q790" s="873"/>
      <c r="R790" s="873"/>
      <c r="S790" s="840"/>
      <c r="T790" s="853"/>
    </row>
    <row r="791" spans="1:20">
      <c r="D791" s="122"/>
      <c r="E791" s="127"/>
      <c r="F791" s="123"/>
      <c r="G791" s="116"/>
      <c r="H791" s="119"/>
      <c r="I791" s="162"/>
      <c r="J791" s="161"/>
      <c r="K791" s="161"/>
      <c r="L791" s="161"/>
      <c r="M791" s="9"/>
      <c r="N791" s="926"/>
      <c r="O791" s="900"/>
      <c r="P791" s="901"/>
      <c r="Q791" s="874"/>
      <c r="R791" s="874"/>
      <c r="S791" s="841"/>
      <c r="T791" s="854"/>
    </row>
    <row r="792" spans="1:20">
      <c r="D792" s="122"/>
      <c r="E792" s="127"/>
      <c r="F792" s="123"/>
      <c r="G792" s="127"/>
      <c r="H792" s="261"/>
      <c r="I792" s="262"/>
      <c r="J792" s="165"/>
      <c r="K792" s="165"/>
      <c r="L792" s="165"/>
      <c r="M792" s="9"/>
      <c r="N792" s="936"/>
      <c r="O792" s="900"/>
      <c r="P792" s="901"/>
      <c r="Q792" s="874"/>
      <c r="R792" s="874"/>
      <c r="S792" s="841"/>
      <c r="T792" s="854"/>
    </row>
    <row r="793" spans="1:20" s="299" customFormat="1">
      <c r="A793" s="918"/>
      <c r="B793" s="922"/>
      <c r="C793" s="924"/>
      <c r="D793" s="929"/>
      <c r="E793" s="930"/>
      <c r="F793" s="929"/>
      <c r="G793" s="930" t="s">
        <v>70</v>
      </c>
      <c r="H793" s="929" t="str">
        <f>D749</f>
        <v>21.2</v>
      </c>
      <c r="I793" s="929"/>
      <c r="J793" s="929"/>
      <c r="K793" s="929"/>
      <c r="L793" s="929"/>
      <c r="M793" s="9"/>
      <c r="N793" s="937"/>
      <c r="O793" s="900"/>
      <c r="P793" s="901">
        <f>SUM(P755:P790)</f>
        <v>26752.030000000006</v>
      </c>
      <c r="Q793" s="874"/>
      <c r="R793" s="874"/>
      <c r="S793" s="841"/>
      <c r="T793" s="854"/>
    </row>
    <row r="794" spans="1:20">
      <c r="D794" s="44"/>
      <c r="E794" s="296"/>
      <c r="F794" s="44"/>
      <c r="G794" s="44"/>
      <c r="H794" s="44"/>
      <c r="I794" s="44"/>
      <c r="J794" s="302"/>
      <c r="K794" s="302"/>
      <c r="L794" s="44"/>
      <c r="M794" s="9"/>
      <c r="N794" s="375"/>
      <c r="O794" s="789"/>
      <c r="P794" s="863"/>
      <c r="Q794" s="874"/>
      <c r="R794" s="874"/>
      <c r="S794" s="841"/>
      <c r="T794" s="854"/>
    </row>
    <row r="795" spans="1:20" s="310" customFormat="1">
      <c r="A795" s="915"/>
      <c r="B795" s="919"/>
      <c r="C795" s="913"/>
      <c r="D795" s="108" t="s">
        <v>51</v>
      </c>
      <c r="E795" s="813"/>
      <c r="F795" s="109"/>
      <c r="G795" s="108" t="s">
        <v>1999</v>
      </c>
      <c r="H795" s="109"/>
      <c r="I795" s="109"/>
      <c r="J795" s="109"/>
      <c r="K795" s="109"/>
      <c r="L795" s="109"/>
      <c r="M795" s="791"/>
      <c r="N795" s="378"/>
      <c r="O795" s="792"/>
      <c r="P795" s="864"/>
      <c r="Q795" s="872"/>
      <c r="R795" s="872"/>
      <c r="S795" s="842"/>
      <c r="T795" s="852"/>
    </row>
    <row r="796" spans="1:20">
      <c r="D796" s="44"/>
      <c r="E796" s="296"/>
      <c r="F796" s="44"/>
      <c r="G796" s="44"/>
      <c r="H796" s="44"/>
      <c r="I796" s="44"/>
      <c r="J796" s="302"/>
      <c r="K796" s="302"/>
      <c r="L796" s="44"/>
      <c r="M796" s="9"/>
      <c r="N796" s="375"/>
      <c r="O796" s="789"/>
      <c r="P796" s="863"/>
      <c r="Q796" s="874"/>
      <c r="R796" s="874"/>
      <c r="S796" s="841"/>
      <c r="T796" s="854"/>
    </row>
    <row r="797" spans="1:20" ht="25.5">
      <c r="D797" s="45"/>
      <c r="E797" s="57"/>
      <c r="F797" s="50"/>
      <c r="G797" s="46" t="s">
        <v>1183</v>
      </c>
      <c r="H797" s="75"/>
      <c r="I797" s="76"/>
      <c r="J797" s="10"/>
      <c r="K797" s="10"/>
      <c r="L797" s="10"/>
      <c r="M797" s="9"/>
      <c r="N797" s="375"/>
      <c r="O797" s="789"/>
      <c r="P797" s="863"/>
      <c r="Q797" s="874"/>
      <c r="R797" s="874"/>
      <c r="S797" s="841"/>
      <c r="T797" s="854"/>
    </row>
    <row r="798" spans="1:20">
      <c r="D798" s="45"/>
      <c r="E798" s="57"/>
      <c r="F798" s="50"/>
      <c r="G798" s="46"/>
      <c r="H798" s="75"/>
      <c r="I798" s="76"/>
      <c r="J798" s="10"/>
      <c r="K798" s="10"/>
      <c r="L798" s="10"/>
      <c r="M798" s="9"/>
      <c r="N798" s="375"/>
      <c r="O798" s="789"/>
      <c r="P798" s="863"/>
      <c r="Q798" s="874"/>
      <c r="R798" s="874"/>
      <c r="S798" s="841"/>
      <c r="T798" s="854"/>
    </row>
    <row r="799" spans="1:20">
      <c r="D799" s="45">
        <v>1</v>
      </c>
      <c r="E799" s="57"/>
      <c r="F799" s="50"/>
      <c r="G799" s="46" t="s">
        <v>1182</v>
      </c>
      <c r="H799" s="75"/>
      <c r="I799" s="76"/>
      <c r="J799" s="10"/>
      <c r="K799" s="10"/>
      <c r="L799" s="10"/>
      <c r="M799" s="9"/>
      <c r="N799" s="375"/>
      <c r="O799" s="789"/>
      <c r="P799" s="863"/>
      <c r="Q799" s="874"/>
      <c r="R799" s="874"/>
      <c r="S799" s="841"/>
      <c r="T799" s="854"/>
    </row>
    <row r="800" spans="1:20">
      <c r="D800" s="49" t="s">
        <v>20</v>
      </c>
      <c r="E800" s="24"/>
      <c r="F800" s="60"/>
      <c r="G800" s="12" t="s">
        <v>789</v>
      </c>
      <c r="H800" s="75"/>
      <c r="I800" s="263"/>
      <c r="J800" s="264"/>
      <c r="K800" s="264"/>
      <c r="L800" s="264"/>
      <c r="M800" s="9"/>
      <c r="N800" s="375"/>
      <c r="O800" s="789"/>
      <c r="P800" s="863"/>
      <c r="Q800" s="874"/>
      <c r="R800" s="874"/>
      <c r="S800" s="841"/>
      <c r="T800" s="854"/>
    </row>
    <row r="801" spans="1:20" s="610" customFormat="1">
      <c r="A801" s="915"/>
      <c r="B801" s="919"/>
      <c r="C801" s="913" t="s">
        <v>2455</v>
      </c>
      <c r="D801" s="49" t="s">
        <v>153</v>
      </c>
      <c r="E801" s="826" t="s">
        <v>1180</v>
      </c>
      <c r="F801" s="23"/>
      <c r="G801" s="134" t="s">
        <v>1181</v>
      </c>
      <c r="H801" s="18" t="s">
        <v>326</v>
      </c>
      <c r="I801" s="135">
        <v>1</v>
      </c>
      <c r="J801" s="10">
        <v>875</v>
      </c>
      <c r="K801" s="9">
        <f>J801*$S$3</f>
        <v>1146.25</v>
      </c>
      <c r="L801" s="10">
        <v>16.8</v>
      </c>
      <c r="M801" s="9">
        <f t="shared" si="54"/>
        <v>1338.82</v>
      </c>
      <c r="N801" s="376">
        <v>0</v>
      </c>
      <c r="O801" s="789">
        <f t="shared" si="53"/>
        <v>1</v>
      </c>
      <c r="P801" s="863">
        <f t="shared" si="55"/>
        <v>1338.82</v>
      </c>
      <c r="Q801" s="873"/>
      <c r="R801" s="873"/>
      <c r="S801" s="840"/>
      <c r="T801" s="853"/>
    </row>
    <row r="802" spans="1:20" s="610" customFormat="1" ht="25.5">
      <c r="A802" s="915"/>
      <c r="B802" s="919"/>
      <c r="C802" s="913" t="s">
        <v>2455</v>
      </c>
      <c r="D802" s="49" t="s">
        <v>151</v>
      </c>
      <c r="E802" s="24" t="s">
        <v>1178</v>
      </c>
      <c r="F802" s="60"/>
      <c r="G802" s="134" t="s">
        <v>1179</v>
      </c>
      <c r="H802" s="18" t="s">
        <v>326</v>
      </c>
      <c r="I802" s="135">
        <v>1</v>
      </c>
      <c r="J802" s="10">
        <v>1725</v>
      </c>
      <c r="K802" s="9">
        <f>J802*$S$3</f>
        <v>2259.75</v>
      </c>
      <c r="L802" s="10">
        <v>16.8</v>
      </c>
      <c r="M802" s="9">
        <f t="shared" si="54"/>
        <v>2639.39</v>
      </c>
      <c r="N802" s="376">
        <v>0</v>
      </c>
      <c r="O802" s="789">
        <f t="shared" si="53"/>
        <v>1</v>
      </c>
      <c r="P802" s="863">
        <f t="shared" si="55"/>
        <v>2639.39</v>
      </c>
      <c r="Q802" s="873"/>
      <c r="R802" s="873"/>
      <c r="S802" s="840"/>
      <c r="T802" s="853"/>
    </row>
    <row r="803" spans="1:20" s="308" customFormat="1">
      <c r="A803" s="915"/>
      <c r="B803" s="919"/>
      <c r="C803" s="913"/>
      <c r="D803" s="49" t="s">
        <v>19</v>
      </c>
      <c r="E803" s="57"/>
      <c r="F803" s="50"/>
      <c r="G803" s="134" t="s">
        <v>441</v>
      </c>
      <c r="H803" s="18"/>
      <c r="I803" s="135"/>
      <c r="J803" s="10"/>
      <c r="K803" s="10"/>
      <c r="L803" s="10"/>
      <c r="M803" s="9"/>
      <c r="N803" s="376"/>
      <c r="O803" s="789"/>
      <c r="P803" s="863"/>
      <c r="Q803" s="874"/>
      <c r="R803" s="874"/>
      <c r="S803" s="841"/>
      <c r="T803" s="854"/>
    </row>
    <row r="804" spans="1:20" s="610" customFormat="1">
      <c r="A804" s="915"/>
      <c r="B804" s="919"/>
      <c r="C804" s="913" t="s">
        <v>2455</v>
      </c>
      <c r="D804" s="49" t="s">
        <v>147</v>
      </c>
      <c r="E804" s="57" t="s">
        <v>1176</v>
      </c>
      <c r="F804" s="50"/>
      <c r="G804" s="134" t="s">
        <v>1177</v>
      </c>
      <c r="H804" s="18" t="s">
        <v>326</v>
      </c>
      <c r="I804" s="135">
        <v>1</v>
      </c>
      <c r="J804" s="10">
        <v>35.22</v>
      </c>
      <c r="K804" s="9">
        <f>J804*$S$3</f>
        <v>46.138199999999998</v>
      </c>
      <c r="L804" s="10">
        <v>16.8</v>
      </c>
      <c r="M804" s="9">
        <f t="shared" si="54"/>
        <v>53.89</v>
      </c>
      <c r="N804" s="376">
        <v>0</v>
      </c>
      <c r="O804" s="789">
        <f t="shared" ref="O804:O866" si="56">I804-N804</f>
        <v>1</v>
      </c>
      <c r="P804" s="863">
        <f t="shared" si="55"/>
        <v>53.89</v>
      </c>
      <c r="Q804" s="873"/>
      <c r="R804" s="873"/>
      <c r="S804" s="840"/>
      <c r="T804" s="853"/>
    </row>
    <row r="805" spans="1:20" s="610" customFormat="1">
      <c r="A805" s="915"/>
      <c r="B805" s="919"/>
      <c r="C805" s="913" t="s">
        <v>2455</v>
      </c>
      <c r="D805" s="49" t="s">
        <v>213</v>
      </c>
      <c r="E805" s="57" t="s">
        <v>1121</v>
      </c>
      <c r="F805" s="50"/>
      <c r="G805" s="114" t="s">
        <v>1122</v>
      </c>
      <c r="H805" s="18" t="s">
        <v>158</v>
      </c>
      <c r="I805" s="135">
        <v>7</v>
      </c>
      <c r="J805" s="10">
        <v>22.53</v>
      </c>
      <c r="K805" s="9">
        <f>J805*$S$3</f>
        <v>29.514300000000002</v>
      </c>
      <c r="L805" s="10">
        <v>16.8</v>
      </c>
      <c r="M805" s="9">
        <f t="shared" si="54"/>
        <v>34.47</v>
      </c>
      <c r="N805" s="376">
        <v>0</v>
      </c>
      <c r="O805" s="789">
        <f t="shared" si="56"/>
        <v>7</v>
      </c>
      <c r="P805" s="863">
        <f t="shared" si="55"/>
        <v>241.29</v>
      </c>
      <c r="Q805" s="873"/>
      <c r="R805" s="873"/>
      <c r="S805" s="840"/>
      <c r="T805" s="853"/>
    </row>
    <row r="806" spans="1:20" s="610" customFormat="1">
      <c r="A806" s="915"/>
      <c r="B806" s="919"/>
      <c r="C806" s="913" t="s">
        <v>2455</v>
      </c>
      <c r="D806" s="49" t="s">
        <v>212</v>
      </c>
      <c r="E806" s="57" t="s">
        <v>1113</v>
      </c>
      <c r="F806" s="50"/>
      <c r="G806" s="114" t="s">
        <v>1114</v>
      </c>
      <c r="H806" s="18" t="s">
        <v>158</v>
      </c>
      <c r="I806" s="135">
        <v>4</v>
      </c>
      <c r="J806" s="10">
        <v>32.46</v>
      </c>
      <c r="K806" s="9">
        <f>J806*$S$3</f>
        <v>42.522600000000004</v>
      </c>
      <c r="L806" s="10">
        <v>16.8</v>
      </c>
      <c r="M806" s="9">
        <f t="shared" si="54"/>
        <v>49.67</v>
      </c>
      <c r="N806" s="376">
        <v>0</v>
      </c>
      <c r="O806" s="789">
        <f t="shared" si="56"/>
        <v>4</v>
      </c>
      <c r="P806" s="863">
        <f t="shared" si="55"/>
        <v>198.68</v>
      </c>
      <c r="Q806" s="873"/>
      <c r="R806" s="873"/>
      <c r="S806" s="840"/>
      <c r="T806" s="853"/>
    </row>
    <row r="807" spans="1:20" s="610" customFormat="1">
      <c r="A807" s="915"/>
      <c r="B807" s="919"/>
      <c r="C807" s="913" t="s">
        <v>2455</v>
      </c>
      <c r="D807" s="49" t="s">
        <v>211</v>
      </c>
      <c r="E807" s="57" t="s">
        <v>778</v>
      </c>
      <c r="F807" s="50"/>
      <c r="G807" s="114" t="s">
        <v>1175</v>
      </c>
      <c r="H807" s="7" t="s">
        <v>246</v>
      </c>
      <c r="I807" s="135">
        <v>1</v>
      </c>
      <c r="J807" s="10">
        <v>32.46</v>
      </c>
      <c r="K807" s="9">
        <f>J807*$S$3</f>
        <v>42.522600000000004</v>
      </c>
      <c r="L807" s="10">
        <v>16.8</v>
      </c>
      <c r="M807" s="9">
        <f t="shared" si="54"/>
        <v>49.67</v>
      </c>
      <c r="N807" s="376">
        <v>0</v>
      </c>
      <c r="O807" s="789">
        <f t="shared" si="56"/>
        <v>1</v>
      </c>
      <c r="P807" s="863">
        <f t="shared" si="55"/>
        <v>49.67</v>
      </c>
      <c r="Q807" s="873"/>
      <c r="R807" s="873"/>
      <c r="S807" s="840"/>
      <c r="T807" s="853"/>
    </row>
    <row r="808" spans="1:20" s="344" customFormat="1" ht="25.5">
      <c r="A808" s="915"/>
      <c r="B808" s="919"/>
      <c r="C808" s="913"/>
      <c r="D808" s="49" t="s">
        <v>208</v>
      </c>
      <c r="E808" s="805">
        <f>'[3]Plan Tron'!B353</f>
        <v>2593</v>
      </c>
      <c r="F808" s="805" t="str">
        <f>'[3]Plan Tron'!C353</f>
        <v>SINAPI (INSUMO)</v>
      </c>
      <c r="G808" s="643" t="str">
        <f>'[3]Plan Tron'!D353</f>
        <v>CONDULETE DE ALUMINIO TIPO LR, PARA ELETRODUTO ROSCAVEL DE 3/4", COM TAMPA CEGA</v>
      </c>
      <c r="H808" s="805" t="str">
        <f>'[3]Plan Tron'!E353</f>
        <v>UN</v>
      </c>
      <c r="I808" s="135">
        <v>6</v>
      </c>
      <c r="J808" s="10">
        <v>4.93</v>
      </c>
      <c r="K808" s="10">
        <f>'[3]Plan Tron'!F353</f>
        <v>6.01</v>
      </c>
      <c r="L808" s="10">
        <v>16.8</v>
      </c>
      <c r="M808" s="9">
        <f t="shared" si="54"/>
        <v>7.02</v>
      </c>
      <c r="N808" s="376">
        <v>0</v>
      </c>
      <c r="O808" s="789">
        <f t="shared" si="56"/>
        <v>6</v>
      </c>
      <c r="P808" s="863">
        <f t="shared" si="55"/>
        <v>42.12</v>
      </c>
      <c r="Q808" s="874"/>
      <c r="R808" s="874"/>
      <c r="S808" s="841"/>
      <c r="T808" s="854"/>
    </row>
    <row r="809" spans="1:20" s="344" customFormat="1" ht="25.5">
      <c r="A809" s="915"/>
      <c r="B809" s="919"/>
      <c r="C809" s="913"/>
      <c r="D809" s="49" t="s">
        <v>203</v>
      </c>
      <c r="E809" s="805">
        <f>'[3]Plan Tron'!B354</f>
        <v>2633</v>
      </c>
      <c r="F809" s="805" t="str">
        <f>'[3]Plan Tron'!C354</f>
        <v>SINAPI (INSUMO)</v>
      </c>
      <c r="G809" s="643" t="str">
        <f>'[3]Plan Tron'!D354</f>
        <v>CURVA 90 GRAUS, PARA ELETRODUTO, EM ACO GALVANIZADO ELETROLITICO, DIAMETRO DE 20 MM (3/4")</v>
      </c>
      <c r="H809" s="805" t="str">
        <f>'[3]Plan Tron'!E354</f>
        <v>UN</v>
      </c>
      <c r="I809" s="135">
        <v>1</v>
      </c>
      <c r="J809" s="10">
        <v>2.37</v>
      </c>
      <c r="K809" s="10">
        <f>'[3]Plan Tron'!F354</f>
        <v>2.5</v>
      </c>
      <c r="L809" s="10">
        <v>16.8</v>
      </c>
      <c r="M809" s="9">
        <f t="shared" si="54"/>
        <v>2.92</v>
      </c>
      <c r="N809" s="376">
        <v>0</v>
      </c>
      <c r="O809" s="789">
        <f t="shared" si="56"/>
        <v>1</v>
      </c>
      <c r="P809" s="863">
        <f t="shared" si="55"/>
        <v>2.92</v>
      </c>
      <c r="Q809" s="874"/>
      <c r="R809" s="874"/>
      <c r="S809" s="841"/>
      <c r="T809" s="854"/>
    </row>
    <row r="810" spans="1:20" s="344" customFormat="1" ht="25.5">
      <c r="A810" s="915"/>
      <c r="B810" s="919"/>
      <c r="C810" s="913"/>
      <c r="D810" s="49" t="s">
        <v>297</v>
      </c>
      <c r="E810" s="805">
        <f>'[3]Plan Tron'!B355</f>
        <v>2637</v>
      </c>
      <c r="F810" s="805" t="str">
        <f>'[3]Plan Tron'!C355</f>
        <v>SINAPI (INSUMO)</v>
      </c>
      <c r="G810" s="643" t="str">
        <f>'[3]Plan Tron'!D355</f>
        <v xml:space="preserve">LUVA PARA ELETRODUTO, EM ACO GALVANIZADO ELETROLITICO, DIAMETRO DE 20 MM (3/4") </v>
      </c>
      <c r="H810" s="805" t="str">
        <f>'[3]Plan Tron'!E355</f>
        <v>UN</v>
      </c>
      <c r="I810" s="135">
        <v>24</v>
      </c>
      <c r="J810" s="10">
        <v>0.89</v>
      </c>
      <c r="K810" s="10">
        <f>'[3]Plan Tron'!F355</f>
        <v>0.94</v>
      </c>
      <c r="L810" s="10">
        <v>16.8</v>
      </c>
      <c r="M810" s="9">
        <f t="shared" si="54"/>
        <v>1.1000000000000001</v>
      </c>
      <c r="N810" s="376">
        <v>0</v>
      </c>
      <c r="O810" s="789">
        <f t="shared" si="56"/>
        <v>24</v>
      </c>
      <c r="P810" s="863">
        <f t="shared" si="55"/>
        <v>26.4</v>
      </c>
      <c r="Q810" s="874"/>
      <c r="R810" s="874"/>
      <c r="S810" s="841"/>
      <c r="T810" s="854"/>
    </row>
    <row r="811" spans="1:20" s="800" customFormat="1" ht="25.5">
      <c r="A811" s="915"/>
      <c r="B811" s="919"/>
      <c r="C811" s="913"/>
      <c r="D811" s="49" t="s">
        <v>296</v>
      </c>
      <c r="E811" s="57">
        <v>4360</v>
      </c>
      <c r="F811" s="805" t="s">
        <v>2017</v>
      </c>
      <c r="G811" s="12" t="s">
        <v>1174</v>
      </c>
      <c r="H811" s="18" t="s">
        <v>158</v>
      </c>
      <c r="I811" s="135">
        <v>48</v>
      </c>
      <c r="J811" s="10">
        <v>1.1399999999999999</v>
      </c>
      <c r="K811" s="9">
        <f>J811*$S$3</f>
        <v>1.4933999999999998</v>
      </c>
      <c r="L811" s="10">
        <v>16.8</v>
      </c>
      <c r="M811" s="9">
        <f t="shared" si="54"/>
        <v>1.74</v>
      </c>
      <c r="N811" s="376">
        <v>0</v>
      </c>
      <c r="O811" s="789">
        <f t="shared" si="56"/>
        <v>48</v>
      </c>
      <c r="P811" s="863">
        <f t="shared" si="55"/>
        <v>83.52</v>
      </c>
      <c r="Q811" s="875"/>
      <c r="R811" s="875"/>
      <c r="S811" s="844"/>
      <c r="T811" s="857"/>
    </row>
    <row r="812" spans="1:20" s="800" customFormat="1" ht="25.5">
      <c r="A812" s="915"/>
      <c r="B812" s="919"/>
      <c r="C812" s="913"/>
      <c r="D812" s="49" t="s">
        <v>290</v>
      </c>
      <c r="E812" s="57">
        <v>851</v>
      </c>
      <c r="F812" s="805" t="s">
        <v>2017</v>
      </c>
      <c r="G812" s="12" t="s">
        <v>1125</v>
      </c>
      <c r="H812" s="18" t="s">
        <v>326</v>
      </c>
      <c r="I812" s="135">
        <v>1</v>
      </c>
      <c r="J812" s="10">
        <v>0.47</v>
      </c>
      <c r="K812" s="9">
        <f>J812*$S$3</f>
        <v>0.61570000000000003</v>
      </c>
      <c r="L812" s="10">
        <v>16.8</v>
      </c>
      <c r="M812" s="9">
        <f t="shared" si="54"/>
        <v>0.72</v>
      </c>
      <c r="N812" s="376">
        <v>0</v>
      </c>
      <c r="O812" s="789">
        <f t="shared" si="56"/>
        <v>1</v>
      </c>
      <c r="P812" s="863">
        <f t="shared" si="55"/>
        <v>0.72</v>
      </c>
      <c r="Q812" s="875"/>
      <c r="R812" s="875"/>
      <c r="S812" s="844"/>
      <c r="T812" s="857"/>
    </row>
    <row r="813" spans="1:20" s="318" customFormat="1">
      <c r="A813" s="915"/>
      <c r="B813" s="919"/>
      <c r="C813" s="913"/>
      <c r="D813" s="49" t="s">
        <v>18</v>
      </c>
      <c r="E813" s="57"/>
      <c r="F813" s="50"/>
      <c r="G813" s="134" t="s">
        <v>1173</v>
      </c>
      <c r="H813" s="18"/>
      <c r="I813" s="51"/>
      <c r="J813" s="10"/>
      <c r="K813" s="10"/>
      <c r="L813" s="10"/>
      <c r="M813" s="9"/>
      <c r="N813" s="376"/>
      <c r="O813" s="789"/>
      <c r="P813" s="863"/>
      <c r="Q813" s="874"/>
      <c r="R813" s="874"/>
      <c r="S813" s="841"/>
      <c r="T813" s="854"/>
    </row>
    <row r="814" spans="1:20" s="610" customFormat="1">
      <c r="A814" s="915"/>
      <c r="B814" s="919"/>
      <c r="C814" s="913" t="s">
        <v>2455</v>
      </c>
      <c r="D814" s="49" t="s">
        <v>201</v>
      </c>
      <c r="E814" s="57" t="s">
        <v>1100</v>
      </c>
      <c r="F814" s="50"/>
      <c r="G814" s="134" t="s">
        <v>1172</v>
      </c>
      <c r="H814" s="18" t="s">
        <v>1078</v>
      </c>
      <c r="I814" s="51">
        <v>5</v>
      </c>
      <c r="J814" s="10">
        <v>38.85</v>
      </c>
      <c r="K814" s="9">
        <f>J814*$S$3</f>
        <v>50.893500000000003</v>
      </c>
      <c r="L814" s="10">
        <v>16.8</v>
      </c>
      <c r="M814" s="9">
        <f t="shared" si="54"/>
        <v>59.44</v>
      </c>
      <c r="N814" s="376">
        <v>0</v>
      </c>
      <c r="O814" s="789">
        <f t="shared" si="56"/>
        <v>5</v>
      </c>
      <c r="P814" s="863">
        <f t="shared" si="55"/>
        <v>297.2</v>
      </c>
      <c r="Q814" s="873"/>
      <c r="R814" s="873"/>
      <c r="S814" s="840"/>
      <c r="T814" s="853"/>
    </row>
    <row r="815" spans="1:20" s="610" customFormat="1">
      <c r="A815" s="915"/>
      <c r="B815" s="919"/>
      <c r="C815" s="913" t="s">
        <v>2455</v>
      </c>
      <c r="D815" s="49" t="s">
        <v>198</v>
      </c>
      <c r="E815" s="57" t="s">
        <v>1098</v>
      </c>
      <c r="F815" s="50"/>
      <c r="G815" s="350" t="s">
        <v>1099</v>
      </c>
      <c r="H815" s="18" t="s">
        <v>246</v>
      </c>
      <c r="I815" s="135">
        <v>4</v>
      </c>
      <c r="J815" s="10">
        <v>2.2999999999999998</v>
      </c>
      <c r="K815" s="9">
        <f>J815*$S$3</f>
        <v>3.0129999999999999</v>
      </c>
      <c r="L815" s="10">
        <v>16.8</v>
      </c>
      <c r="M815" s="9">
        <f t="shared" si="54"/>
        <v>3.52</v>
      </c>
      <c r="N815" s="376">
        <v>0</v>
      </c>
      <c r="O815" s="789">
        <f t="shared" si="56"/>
        <v>4</v>
      </c>
      <c r="P815" s="863">
        <f t="shared" si="55"/>
        <v>14.08</v>
      </c>
      <c r="Q815" s="873"/>
      <c r="R815" s="873"/>
      <c r="S815" s="840"/>
      <c r="T815" s="853"/>
    </row>
    <row r="816" spans="1:20" s="610" customFormat="1">
      <c r="A816" s="915"/>
      <c r="B816" s="919"/>
      <c r="C816" s="913" t="s">
        <v>2455</v>
      </c>
      <c r="D816" s="49" t="s">
        <v>390</v>
      </c>
      <c r="E816" s="57" t="s">
        <v>1096</v>
      </c>
      <c r="F816" s="50"/>
      <c r="G816" s="350" t="s">
        <v>1097</v>
      </c>
      <c r="H816" s="18" t="s">
        <v>246</v>
      </c>
      <c r="I816" s="135">
        <v>5</v>
      </c>
      <c r="J816" s="10">
        <v>0.9</v>
      </c>
      <c r="K816" s="9">
        <f>J816*$S$3</f>
        <v>1.179</v>
      </c>
      <c r="L816" s="10">
        <v>16.8</v>
      </c>
      <c r="M816" s="9">
        <f t="shared" si="54"/>
        <v>1.38</v>
      </c>
      <c r="N816" s="376">
        <v>0</v>
      </c>
      <c r="O816" s="789">
        <f t="shared" si="56"/>
        <v>5</v>
      </c>
      <c r="P816" s="863">
        <f t="shared" si="55"/>
        <v>6.9</v>
      </c>
      <c r="Q816" s="873"/>
      <c r="R816" s="873"/>
      <c r="S816" s="840"/>
      <c r="T816" s="853"/>
    </row>
    <row r="817" spans="1:20" s="610" customFormat="1">
      <c r="A817" s="915"/>
      <c r="B817" s="919"/>
      <c r="C817" s="913" t="s">
        <v>2455</v>
      </c>
      <c r="D817" s="49" t="s">
        <v>387</v>
      </c>
      <c r="E817" s="57" t="s">
        <v>1094</v>
      </c>
      <c r="F817" s="50"/>
      <c r="G817" s="350" t="s">
        <v>1095</v>
      </c>
      <c r="H817" s="18" t="s">
        <v>246</v>
      </c>
      <c r="I817" s="21">
        <v>3</v>
      </c>
      <c r="J817" s="10">
        <v>1.75</v>
      </c>
      <c r="K817" s="9">
        <f>J817*$S$3</f>
        <v>2.2925</v>
      </c>
      <c r="L817" s="10">
        <v>16.8</v>
      </c>
      <c r="M817" s="9">
        <f t="shared" si="54"/>
        <v>2.68</v>
      </c>
      <c r="N817" s="376">
        <v>0</v>
      </c>
      <c r="O817" s="789">
        <f t="shared" si="56"/>
        <v>3</v>
      </c>
      <c r="P817" s="863">
        <f t="shared" si="55"/>
        <v>8.0399999999999991</v>
      </c>
      <c r="Q817" s="873"/>
      <c r="R817" s="873"/>
      <c r="S817" s="840"/>
      <c r="T817" s="853"/>
    </row>
    <row r="818" spans="1:20" s="610" customFormat="1">
      <c r="A818" s="915"/>
      <c r="B818" s="919"/>
      <c r="C818" s="913" t="s">
        <v>2455</v>
      </c>
      <c r="D818" s="49" t="s">
        <v>384</v>
      </c>
      <c r="E818" s="57" t="s">
        <v>1088</v>
      </c>
      <c r="F818" s="50"/>
      <c r="G818" s="350" t="s">
        <v>1089</v>
      </c>
      <c r="H818" s="18" t="s">
        <v>246</v>
      </c>
      <c r="I818" s="21">
        <v>4</v>
      </c>
      <c r="J818" s="10">
        <v>1.25</v>
      </c>
      <c r="K818" s="9">
        <f>J818*$S$3</f>
        <v>1.6375000000000002</v>
      </c>
      <c r="L818" s="10">
        <v>16.8</v>
      </c>
      <c r="M818" s="9">
        <f t="shared" si="54"/>
        <v>1.91</v>
      </c>
      <c r="N818" s="376">
        <v>0</v>
      </c>
      <c r="O818" s="789">
        <f t="shared" si="56"/>
        <v>4</v>
      </c>
      <c r="P818" s="863">
        <f t="shared" si="55"/>
        <v>7.64</v>
      </c>
      <c r="Q818" s="873"/>
      <c r="R818" s="873"/>
      <c r="S818" s="840"/>
      <c r="T818" s="853"/>
    </row>
    <row r="819" spans="1:20" s="318" customFormat="1">
      <c r="A819" s="915"/>
      <c r="B819" s="919"/>
      <c r="C819" s="913"/>
      <c r="D819" s="49" t="s">
        <v>17</v>
      </c>
      <c r="E819" s="57"/>
      <c r="F819" s="50"/>
      <c r="G819" s="134" t="s">
        <v>440</v>
      </c>
      <c r="H819" s="360"/>
      <c r="I819" s="21"/>
      <c r="J819" s="10"/>
      <c r="K819" s="10"/>
      <c r="L819" s="10"/>
      <c r="M819" s="9"/>
      <c r="N819" s="376"/>
      <c r="O819" s="789"/>
      <c r="P819" s="863"/>
      <c r="Q819" s="874"/>
      <c r="R819" s="874"/>
      <c r="S819" s="841"/>
      <c r="T819" s="854"/>
    </row>
    <row r="820" spans="1:20" s="610" customFormat="1" ht="38.25">
      <c r="A820" s="915"/>
      <c r="B820" s="919"/>
      <c r="C820" s="913" t="s">
        <v>2455</v>
      </c>
      <c r="D820" s="49" t="s">
        <v>195</v>
      </c>
      <c r="E820" s="57" t="s">
        <v>1107</v>
      </c>
      <c r="F820" s="50"/>
      <c r="G820" s="64" t="s">
        <v>1108</v>
      </c>
      <c r="H820" s="360" t="s">
        <v>246</v>
      </c>
      <c r="I820" s="21">
        <v>2</v>
      </c>
      <c r="J820" s="10">
        <v>350</v>
      </c>
      <c r="K820" s="9">
        <f>J820*$S$3</f>
        <v>458.5</v>
      </c>
      <c r="L820" s="10">
        <v>16.8</v>
      </c>
      <c r="M820" s="9">
        <f t="shared" si="54"/>
        <v>535.53</v>
      </c>
      <c r="N820" s="376">
        <v>0</v>
      </c>
      <c r="O820" s="789">
        <f t="shared" si="56"/>
        <v>2</v>
      </c>
      <c r="P820" s="863">
        <f t="shared" si="55"/>
        <v>1071.06</v>
      </c>
      <c r="Q820" s="873"/>
      <c r="R820" s="873"/>
      <c r="S820" s="840"/>
      <c r="T820" s="853"/>
    </row>
    <row r="821" spans="1:20" s="800" customFormat="1" ht="25.5">
      <c r="A821" s="915"/>
      <c r="B821" s="919"/>
      <c r="C821" s="913"/>
      <c r="D821" s="49" t="s">
        <v>192</v>
      </c>
      <c r="E821" s="57">
        <v>12207</v>
      </c>
      <c r="F821" s="805" t="s">
        <v>2017</v>
      </c>
      <c r="G821" s="134" t="s">
        <v>1171</v>
      </c>
      <c r="H821" s="18" t="s">
        <v>246</v>
      </c>
      <c r="I821" s="135">
        <v>8</v>
      </c>
      <c r="J821" s="10">
        <v>7.66</v>
      </c>
      <c r="K821" s="9">
        <f>J821*$S$3</f>
        <v>10.034600000000001</v>
      </c>
      <c r="L821" s="10">
        <v>16.8</v>
      </c>
      <c r="M821" s="9">
        <f t="shared" si="54"/>
        <v>11.72</v>
      </c>
      <c r="N821" s="376">
        <v>0</v>
      </c>
      <c r="O821" s="789">
        <f t="shared" si="56"/>
        <v>8</v>
      </c>
      <c r="P821" s="863">
        <f t="shared" si="55"/>
        <v>93.76</v>
      </c>
      <c r="Q821" s="875"/>
      <c r="R821" s="875"/>
      <c r="S821" s="844"/>
      <c r="T821" s="857"/>
    </row>
    <row r="822" spans="1:20" s="318" customFormat="1">
      <c r="A822" s="915"/>
      <c r="B822" s="919"/>
      <c r="C822" s="913"/>
      <c r="D822" s="49"/>
      <c r="E822" s="57"/>
      <c r="F822" s="50"/>
      <c r="G822" s="134"/>
      <c r="H822" s="18"/>
      <c r="I822" s="135"/>
      <c r="J822" s="10"/>
      <c r="K822" s="10"/>
      <c r="L822" s="10"/>
      <c r="M822" s="9"/>
      <c r="N822" s="376"/>
      <c r="O822" s="789"/>
      <c r="P822" s="863"/>
      <c r="Q822" s="874"/>
      <c r="R822" s="874"/>
      <c r="S822" s="841"/>
      <c r="T822" s="854"/>
    </row>
    <row r="823" spans="1:20" s="318" customFormat="1">
      <c r="A823" s="915"/>
      <c r="B823" s="919"/>
      <c r="C823" s="913"/>
      <c r="D823" s="49"/>
      <c r="E823" s="57"/>
      <c r="F823" s="50"/>
      <c r="G823" s="134"/>
      <c r="H823" s="18"/>
      <c r="I823" s="135"/>
      <c r="J823" s="10"/>
      <c r="K823" s="10"/>
      <c r="L823" s="10"/>
      <c r="M823" s="9"/>
      <c r="N823" s="376"/>
      <c r="O823" s="789"/>
      <c r="P823" s="863"/>
      <c r="Q823" s="874"/>
      <c r="R823" s="874"/>
      <c r="S823" s="841"/>
      <c r="T823" s="854"/>
    </row>
    <row r="824" spans="1:20" s="800" customFormat="1" ht="25.5">
      <c r="A824" s="915"/>
      <c r="B824" s="919"/>
      <c r="C824" s="913"/>
      <c r="D824" s="49" t="s">
        <v>280</v>
      </c>
      <c r="E824" s="57">
        <v>3794</v>
      </c>
      <c r="F824" s="805" t="s">
        <v>2017</v>
      </c>
      <c r="G824" s="134" t="s">
        <v>1170</v>
      </c>
      <c r="H824" s="18" t="s">
        <v>246</v>
      </c>
      <c r="I824" s="135">
        <v>8</v>
      </c>
      <c r="J824" s="10">
        <v>123</v>
      </c>
      <c r="K824" s="9">
        <f>J824*$S$3</f>
        <v>161.13</v>
      </c>
      <c r="L824" s="10">
        <v>16.8</v>
      </c>
      <c r="M824" s="9">
        <f t="shared" si="54"/>
        <v>188.2</v>
      </c>
      <c r="N824" s="376">
        <v>0</v>
      </c>
      <c r="O824" s="789">
        <f t="shared" si="56"/>
        <v>8</v>
      </c>
      <c r="P824" s="863">
        <f t="shared" si="55"/>
        <v>1505.6</v>
      </c>
      <c r="Q824" s="875"/>
      <c r="R824" s="875"/>
      <c r="S824" s="844"/>
      <c r="T824" s="857"/>
    </row>
    <row r="825" spans="1:20" s="318" customFormat="1">
      <c r="A825" s="915"/>
      <c r="B825" s="919"/>
      <c r="C825" s="913"/>
      <c r="D825" s="49" t="s">
        <v>16</v>
      </c>
      <c r="E825" s="57"/>
      <c r="F825" s="50"/>
      <c r="G825" s="12" t="s">
        <v>1065</v>
      </c>
      <c r="H825" s="18"/>
      <c r="I825" s="135"/>
      <c r="J825" s="10"/>
      <c r="K825" s="10"/>
      <c r="L825" s="10"/>
      <c r="M825" s="9"/>
      <c r="N825" s="376"/>
      <c r="O825" s="789"/>
      <c r="P825" s="863"/>
      <c r="Q825" s="874"/>
      <c r="R825" s="874"/>
      <c r="S825" s="841"/>
      <c r="T825" s="854"/>
    </row>
    <row r="826" spans="1:20" s="610" customFormat="1">
      <c r="A826" s="915"/>
      <c r="B826" s="919"/>
      <c r="C826" s="913" t="s">
        <v>2455</v>
      </c>
      <c r="D826" s="49" t="s">
        <v>270</v>
      </c>
      <c r="E826" s="57" t="s">
        <v>1063</v>
      </c>
      <c r="F826" s="50"/>
      <c r="G826" s="12" t="s">
        <v>1064</v>
      </c>
      <c r="H826" s="18" t="s">
        <v>110</v>
      </c>
      <c r="I826" s="135">
        <v>135</v>
      </c>
      <c r="J826" s="10">
        <v>6.2</v>
      </c>
      <c r="K826" s="9">
        <f>J826*$S$3</f>
        <v>8.1219999999999999</v>
      </c>
      <c r="L826" s="10">
        <v>16.8</v>
      </c>
      <c r="M826" s="9">
        <f t="shared" si="54"/>
        <v>9.49</v>
      </c>
      <c r="N826" s="376">
        <v>0</v>
      </c>
      <c r="O826" s="789">
        <f t="shared" si="56"/>
        <v>135</v>
      </c>
      <c r="P826" s="863">
        <f t="shared" si="55"/>
        <v>1281.1500000000001</v>
      </c>
      <c r="Q826" s="873"/>
      <c r="R826" s="873"/>
      <c r="S826" s="840"/>
      <c r="T826" s="853"/>
    </row>
    <row r="827" spans="1:20" s="344" customFormat="1" ht="25.5">
      <c r="A827" s="915"/>
      <c r="B827" s="919"/>
      <c r="C827" s="913"/>
      <c r="D827" s="49" t="s">
        <v>369</v>
      </c>
      <c r="E827" s="805">
        <f>'[3]Plan Tron'!B356</f>
        <v>7572</v>
      </c>
      <c r="F827" s="805" t="str">
        <f>'[3]Plan Tron'!C356</f>
        <v>SINAPI (INSUMO)</v>
      </c>
      <c r="G827" s="643" t="str">
        <f>'[3]Plan Tron'!D356</f>
        <v>SUPORTE ISOLADOR REFORCADO DIAMETRO NOMINAL 5/16", COM ROSCA SOBERBA E BUCHA</v>
      </c>
      <c r="H827" s="805" t="str">
        <f>'[3]Plan Tron'!E356</f>
        <v>UN</v>
      </c>
      <c r="I827" s="135">
        <v>32</v>
      </c>
      <c r="J827" s="10">
        <v>5.18</v>
      </c>
      <c r="K827" s="10">
        <f>'[3]Plan Tron'!F356</f>
        <v>5.37</v>
      </c>
      <c r="L827" s="10">
        <v>16.8</v>
      </c>
      <c r="M827" s="9">
        <f t="shared" si="54"/>
        <v>6.27</v>
      </c>
      <c r="N827" s="376">
        <v>0</v>
      </c>
      <c r="O827" s="789">
        <f t="shared" si="56"/>
        <v>32</v>
      </c>
      <c r="P827" s="863">
        <f t="shared" si="55"/>
        <v>200.64</v>
      </c>
      <c r="Q827" s="874"/>
      <c r="R827" s="874"/>
      <c r="S827" s="841"/>
      <c r="T827" s="854"/>
    </row>
    <row r="828" spans="1:20" s="344" customFormat="1" ht="25.5">
      <c r="A828" s="915"/>
      <c r="B828" s="919"/>
      <c r="C828" s="913"/>
      <c r="D828" s="49" t="s">
        <v>367</v>
      </c>
      <c r="E828" s="805">
        <f>'[3]Plan Tron'!B357</f>
        <v>3396</v>
      </c>
      <c r="F828" s="805" t="str">
        <f>'[3]Plan Tron'!C357</f>
        <v>SINAPI (INSUMO)</v>
      </c>
      <c r="G828" s="643" t="str">
        <f>'[3]Plan Tron'!D357</f>
        <v xml:space="preserve">SUPORTE ISOLADOR SIMPLES DIAMETRO NOMINAL 5/16", COM ROSCA SOBERBA E BUCHA </v>
      </c>
      <c r="H828" s="805" t="str">
        <f>'[3]Plan Tron'!E357</f>
        <v>UN</v>
      </c>
      <c r="I828" s="135">
        <v>70</v>
      </c>
      <c r="J828" s="10">
        <v>2.19</v>
      </c>
      <c r="K828" s="10">
        <f>'[3]Plan Tron'!F357</f>
        <v>3.8</v>
      </c>
      <c r="L828" s="10">
        <v>16.8</v>
      </c>
      <c r="M828" s="9">
        <f t="shared" si="54"/>
        <v>4.4400000000000004</v>
      </c>
      <c r="N828" s="376">
        <v>0</v>
      </c>
      <c r="O828" s="789">
        <f t="shared" si="56"/>
        <v>70</v>
      </c>
      <c r="P828" s="863">
        <f t="shared" si="55"/>
        <v>310.8</v>
      </c>
      <c r="Q828" s="874"/>
      <c r="R828" s="874"/>
      <c r="S828" s="841"/>
      <c r="T828" s="854"/>
    </row>
    <row r="829" spans="1:20" s="344" customFormat="1" ht="25.5">
      <c r="A829" s="915"/>
      <c r="B829" s="919"/>
      <c r="C829" s="913"/>
      <c r="D829" s="49" t="s">
        <v>365</v>
      </c>
      <c r="E829" s="805">
        <f>'[3]Plan Tron'!B358</f>
        <v>11855</v>
      </c>
      <c r="F829" s="805" t="str">
        <f>'[3]Plan Tron'!C358</f>
        <v>SINAPI (INSUMO)</v>
      </c>
      <c r="G829" s="643" t="str">
        <f>'[3]Plan Tron'!D358</f>
        <v xml:space="preserve">CONECTOR METALICO TIPO PARAFUSO FENDIDO (SPLIT BOLT), PARA CABOS ATE 70 MM2 </v>
      </c>
      <c r="H829" s="805" t="str">
        <f>'[3]Plan Tron'!E358</f>
        <v>UN</v>
      </c>
      <c r="I829" s="135">
        <v>25</v>
      </c>
      <c r="J829" s="10">
        <v>9.8699999999999992</v>
      </c>
      <c r="K829" s="10">
        <f>'[3]Plan Tron'!F358</f>
        <v>8.14</v>
      </c>
      <c r="L829" s="10">
        <v>16.8</v>
      </c>
      <c r="M829" s="9">
        <f t="shared" si="54"/>
        <v>9.51</v>
      </c>
      <c r="N829" s="376">
        <v>0</v>
      </c>
      <c r="O829" s="789">
        <f t="shared" si="56"/>
        <v>25</v>
      </c>
      <c r="P829" s="863">
        <f t="shared" si="55"/>
        <v>237.75</v>
      </c>
      <c r="Q829" s="874"/>
      <c r="R829" s="874"/>
      <c r="S829" s="841"/>
      <c r="T829" s="854"/>
    </row>
    <row r="830" spans="1:20" s="610" customFormat="1">
      <c r="A830" s="915"/>
      <c r="B830" s="919"/>
      <c r="C830" s="913" t="s">
        <v>2455</v>
      </c>
      <c r="D830" s="49" t="s">
        <v>1045</v>
      </c>
      <c r="E830" s="57" t="s">
        <v>268</v>
      </c>
      <c r="F830" s="50"/>
      <c r="G830" s="12" t="s">
        <v>1169</v>
      </c>
      <c r="H830" s="7" t="s">
        <v>158</v>
      </c>
      <c r="I830" s="135">
        <v>2</v>
      </c>
      <c r="J830" s="10">
        <v>29.48</v>
      </c>
      <c r="K830" s="9">
        <f t="shared" ref="K830:K835" si="57">J830*$S$3</f>
        <v>38.6188</v>
      </c>
      <c r="L830" s="10">
        <v>16.8</v>
      </c>
      <c r="M830" s="9">
        <f t="shared" si="54"/>
        <v>45.11</v>
      </c>
      <c r="N830" s="376">
        <v>0</v>
      </c>
      <c r="O830" s="789">
        <f t="shared" si="56"/>
        <v>2</v>
      </c>
      <c r="P830" s="863">
        <f t="shared" si="55"/>
        <v>90.22</v>
      </c>
      <c r="Q830" s="873"/>
      <c r="R830" s="873"/>
      <c r="S830" s="840"/>
      <c r="T830" s="853"/>
    </row>
    <row r="831" spans="1:20" s="610" customFormat="1" ht="25.5">
      <c r="A831" s="915"/>
      <c r="B831" s="919"/>
      <c r="C831" s="913" t="s">
        <v>2455</v>
      </c>
      <c r="D831" s="49" t="s">
        <v>1043</v>
      </c>
      <c r="E831" s="57" t="s">
        <v>193</v>
      </c>
      <c r="F831" s="50"/>
      <c r="G831" s="12" t="s">
        <v>194</v>
      </c>
      <c r="H831" s="18" t="s">
        <v>158</v>
      </c>
      <c r="I831" s="135">
        <v>1</v>
      </c>
      <c r="J831" s="10">
        <v>180</v>
      </c>
      <c r="K831" s="9">
        <f t="shared" si="57"/>
        <v>235.8</v>
      </c>
      <c r="L831" s="10">
        <v>16.8</v>
      </c>
      <c r="M831" s="9">
        <f t="shared" si="54"/>
        <v>275.41000000000003</v>
      </c>
      <c r="N831" s="376">
        <v>0</v>
      </c>
      <c r="O831" s="789">
        <f t="shared" si="56"/>
        <v>1</v>
      </c>
      <c r="P831" s="863">
        <f t="shared" si="55"/>
        <v>275.41000000000003</v>
      </c>
      <c r="Q831" s="873"/>
      <c r="R831" s="873"/>
      <c r="S831" s="840"/>
      <c r="T831" s="853"/>
    </row>
    <row r="832" spans="1:20" s="610" customFormat="1">
      <c r="A832" s="915"/>
      <c r="B832" s="919"/>
      <c r="C832" s="913" t="s">
        <v>2455</v>
      </c>
      <c r="D832" s="49" t="s">
        <v>1090</v>
      </c>
      <c r="E832" s="57" t="s">
        <v>190</v>
      </c>
      <c r="F832" s="50"/>
      <c r="G832" s="12" t="s">
        <v>191</v>
      </c>
      <c r="H832" s="18" t="s">
        <v>158</v>
      </c>
      <c r="I832" s="135">
        <v>20</v>
      </c>
      <c r="J832" s="10">
        <v>17.5</v>
      </c>
      <c r="K832" s="9">
        <f t="shared" si="57"/>
        <v>22.925000000000001</v>
      </c>
      <c r="L832" s="10">
        <v>16.8</v>
      </c>
      <c r="M832" s="9">
        <f t="shared" si="54"/>
        <v>26.78</v>
      </c>
      <c r="N832" s="376">
        <v>0</v>
      </c>
      <c r="O832" s="789">
        <f t="shared" si="56"/>
        <v>20</v>
      </c>
      <c r="P832" s="863">
        <f t="shared" si="55"/>
        <v>535.6</v>
      </c>
      <c r="Q832" s="873"/>
      <c r="R832" s="873"/>
      <c r="S832" s="840"/>
      <c r="T832" s="853"/>
    </row>
    <row r="833" spans="1:20" s="610" customFormat="1">
      <c r="A833" s="915"/>
      <c r="B833" s="919"/>
      <c r="C833" s="913" t="s">
        <v>2455</v>
      </c>
      <c r="D833" s="49" t="s">
        <v>1087</v>
      </c>
      <c r="E833" s="57" t="s">
        <v>1060</v>
      </c>
      <c r="F833" s="50"/>
      <c r="G833" s="12" t="s">
        <v>1061</v>
      </c>
      <c r="H833" s="18" t="s">
        <v>158</v>
      </c>
      <c r="I833" s="135">
        <v>8</v>
      </c>
      <c r="J833" s="10">
        <v>24.82</v>
      </c>
      <c r="K833" s="9">
        <f t="shared" si="57"/>
        <v>32.514200000000002</v>
      </c>
      <c r="L833" s="10">
        <v>16.8</v>
      </c>
      <c r="M833" s="9">
        <f t="shared" si="54"/>
        <v>37.979999999999997</v>
      </c>
      <c r="N833" s="376">
        <v>0</v>
      </c>
      <c r="O833" s="789">
        <f t="shared" si="56"/>
        <v>8</v>
      </c>
      <c r="P833" s="863">
        <f t="shared" si="55"/>
        <v>303.83999999999997</v>
      </c>
      <c r="Q833" s="873"/>
      <c r="R833" s="873"/>
      <c r="S833" s="840"/>
      <c r="T833" s="853"/>
    </row>
    <row r="834" spans="1:20" s="610" customFormat="1">
      <c r="A834" s="915"/>
      <c r="B834" s="919"/>
      <c r="C834" s="913" t="s">
        <v>2455</v>
      </c>
      <c r="D834" s="49" t="s">
        <v>1084</v>
      </c>
      <c r="E834" s="57" t="s">
        <v>1058</v>
      </c>
      <c r="F834" s="50"/>
      <c r="G834" s="12" t="s">
        <v>1059</v>
      </c>
      <c r="H834" s="18" t="s">
        <v>158</v>
      </c>
      <c r="I834" s="135">
        <v>8</v>
      </c>
      <c r="J834" s="10">
        <v>10.6</v>
      </c>
      <c r="K834" s="9">
        <f t="shared" si="57"/>
        <v>13.885999999999999</v>
      </c>
      <c r="L834" s="10">
        <v>16.8</v>
      </c>
      <c r="M834" s="9">
        <f t="shared" si="54"/>
        <v>16.22</v>
      </c>
      <c r="N834" s="376">
        <v>0</v>
      </c>
      <c r="O834" s="789">
        <f t="shared" si="56"/>
        <v>8</v>
      </c>
      <c r="P834" s="863">
        <f t="shared" si="55"/>
        <v>129.76</v>
      </c>
      <c r="Q834" s="873"/>
      <c r="R834" s="873"/>
      <c r="S834" s="840"/>
      <c r="T834" s="853"/>
    </row>
    <row r="835" spans="1:20" s="610" customFormat="1">
      <c r="A835" s="915"/>
      <c r="B835" s="919"/>
      <c r="C835" s="913" t="s">
        <v>2455</v>
      </c>
      <c r="D835" s="49" t="s">
        <v>1168</v>
      </c>
      <c r="E835" s="57" t="s">
        <v>1056</v>
      </c>
      <c r="F835" s="50"/>
      <c r="G835" s="12" t="s">
        <v>1057</v>
      </c>
      <c r="H835" s="7" t="s">
        <v>158</v>
      </c>
      <c r="I835" s="135">
        <v>32</v>
      </c>
      <c r="J835" s="10">
        <v>22.3</v>
      </c>
      <c r="K835" s="9">
        <f t="shared" si="57"/>
        <v>29.213000000000001</v>
      </c>
      <c r="L835" s="10">
        <v>16.8</v>
      </c>
      <c r="M835" s="9">
        <f t="shared" si="54"/>
        <v>34.119999999999997</v>
      </c>
      <c r="N835" s="376">
        <v>0</v>
      </c>
      <c r="O835" s="789">
        <f t="shared" si="56"/>
        <v>32</v>
      </c>
      <c r="P835" s="863">
        <f t="shared" si="55"/>
        <v>1091.8399999999999</v>
      </c>
      <c r="Q835" s="873"/>
      <c r="R835" s="873"/>
      <c r="S835" s="840"/>
      <c r="T835" s="853"/>
    </row>
    <row r="836" spans="1:20" s="318" customFormat="1">
      <c r="A836" s="915"/>
      <c r="B836" s="919"/>
      <c r="C836" s="913"/>
      <c r="D836" s="49" t="s">
        <v>15</v>
      </c>
      <c r="E836" s="57"/>
      <c r="F836" s="50"/>
      <c r="G836" s="134" t="s">
        <v>1167</v>
      </c>
      <c r="H836" s="18"/>
      <c r="I836" s="135"/>
      <c r="J836" s="10"/>
      <c r="K836" s="10"/>
      <c r="L836" s="10"/>
      <c r="M836" s="9"/>
      <c r="N836" s="376"/>
      <c r="O836" s="789"/>
      <c r="P836" s="863"/>
      <c r="Q836" s="874"/>
      <c r="R836" s="874"/>
      <c r="S836" s="841"/>
      <c r="T836" s="854"/>
    </row>
    <row r="837" spans="1:20" s="610" customFormat="1" ht="38.25">
      <c r="A837" s="915"/>
      <c r="B837" s="919"/>
      <c r="C837" s="913" t="s">
        <v>2455</v>
      </c>
      <c r="D837" s="49" t="s">
        <v>249</v>
      </c>
      <c r="E837" s="57" t="s">
        <v>768</v>
      </c>
      <c r="F837" s="50"/>
      <c r="G837" s="134" t="s">
        <v>769</v>
      </c>
      <c r="H837" s="18" t="s">
        <v>326</v>
      </c>
      <c r="I837" s="135">
        <v>1</v>
      </c>
      <c r="J837" s="10">
        <v>423.43</v>
      </c>
      <c r="K837" s="9">
        <f>J837*$S$3</f>
        <v>554.69330000000002</v>
      </c>
      <c r="L837" s="10">
        <v>16.8</v>
      </c>
      <c r="M837" s="9">
        <f t="shared" si="54"/>
        <v>647.88</v>
      </c>
      <c r="N837" s="376">
        <v>0</v>
      </c>
      <c r="O837" s="789">
        <f t="shared" si="56"/>
        <v>1</v>
      </c>
      <c r="P837" s="863">
        <f t="shared" si="55"/>
        <v>647.88</v>
      </c>
      <c r="Q837" s="873"/>
      <c r="R837" s="873"/>
      <c r="S837" s="840"/>
      <c r="T837" s="853"/>
    </row>
    <row r="838" spans="1:20" s="318" customFormat="1">
      <c r="A838" s="915"/>
      <c r="B838" s="919"/>
      <c r="C838" s="913"/>
      <c r="D838" s="49"/>
      <c r="E838" s="24"/>
      <c r="F838" s="60"/>
      <c r="G838" s="134"/>
      <c r="H838" s="22"/>
      <c r="I838" s="51"/>
      <c r="J838" s="51"/>
      <c r="K838" s="51"/>
      <c r="L838" s="51"/>
      <c r="M838" s="9"/>
      <c r="N838" s="375"/>
      <c r="O838" s="789"/>
      <c r="P838" s="863"/>
      <c r="Q838" s="874"/>
      <c r="R838" s="874"/>
      <c r="S838" s="841"/>
      <c r="T838" s="854"/>
    </row>
    <row r="839" spans="1:20" s="318" customFormat="1">
      <c r="A839" s="915"/>
      <c r="B839" s="919"/>
      <c r="C839" s="913"/>
      <c r="D839" s="49"/>
      <c r="E839" s="24"/>
      <c r="F839" s="60"/>
      <c r="G839" s="185"/>
      <c r="H839" s="22"/>
      <c r="I839" s="51"/>
      <c r="J839" s="51"/>
      <c r="K839" s="51"/>
      <c r="L839" s="51"/>
      <c r="M839" s="9"/>
      <c r="N839" s="380"/>
      <c r="O839" s="789"/>
      <c r="P839" s="863"/>
      <c r="Q839" s="874"/>
      <c r="R839" s="874"/>
      <c r="S839" s="841"/>
      <c r="T839" s="854"/>
    </row>
    <row r="840" spans="1:20" s="337" customFormat="1">
      <c r="A840" s="918"/>
      <c r="B840" s="922"/>
      <c r="C840" s="924"/>
      <c r="D840" s="338"/>
      <c r="E840" s="340"/>
      <c r="F840" s="338"/>
      <c r="G840" s="340" t="s">
        <v>70</v>
      </c>
      <c r="H840" s="338" t="str">
        <f>D795</f>
        <v>21.3</v>
      </c>
      <c r="I840" s="338"/>
      <c r="J840" s="338"/>
      <c r="K840" s="338"/>
      <c r="L840" s="338"/>
      <c r="M840" s="9"/>
      <c r="N840" s="381"/>
      <c r="O840" s="789"/>
      <c r="P840" s="863">
        <f>SUM(P801:P837)</f>
        <v>12786.589999999998</v>
      </c>
      <c r="Q840" s="874"/>
      <c r="R840" s="874"/>
      <c r="S840" s="841"/>
      <c r="T840" s="854"/>
    </row>
    <row r="841" spans="1:20" s="318" customFormat="1">
      <c r="A841" s="915"/>
      <c r="B841" s="919"/>
      <c r="C841" s="913"/>
      <c r="D841" s="339"/>
      <c r="E841" s="409"/>
      <c r="F841" s="339"/>
      <c r="G841" s="339"/>
      <c r="H841" s="339"/>
      <c r="I841" s="339"/>
      <c r="J841" s="339"/>
      <c r="K841" s="339"/>
      <c r="L841" s="339"/>
      <c r="M841" s="9"/>
      <c r="N841" s="375"/>
      <c r="O841" s="789"/>
      <c r="P841" s="863"/>
      <c r="Q841" s="874"/>
      <c r="R841" s="874"/>
      <c r="S841" s="841"/>
      <c r="T841" s="854"/>
    </row>
    <row r="842" spans="1:20" s="310" customFormat="1">
      <c r="A842" s="915"/>
      <c r="B842" s="919"/>
      <c r="C842" s="913"/>
      <c r="D842" s="108">
        <v>23</v>
      </c>
      <c r="E842" s="813"/>
      <c r="F842" s="109"/>
      <c r="G842" s="108" t="s">
        <v>1968</v>
      </c>
      <c r="H842" s="109"/>
      <c r="I842" s="109"/>
      <c r="J842" s="109"/>
      <c r="K842" s="109"/>
      <c r="L842" s="109"/>
      <c r="M842" s="791"/>
      <c r="N842" s="378"/>
      <c r="O842" s="792"/>
      <c r="P842" s="864"/>
      <c r="Q842" s="872"/>
      <c r="R842" s="872"/>
      <c r="S842" s="842"/>
      <c r="T842" s="852"/>
    </row>
    <row r="843" spans="1:20" s="310" customFormat="1">
      <c r="A843" s="915"/>
      <c r="B843" s="919"/>
      <c r="C843" s="913"/>
      <c r="D843" s="108" t="s">
        <v>48</v>
      </c>
      <c r="E843" s="813"/>
      <c r="F843" s="109"/>
      <c r="G843" s="108" t="s">
        <v>2009</v>
      </c>
      <c r="H843" s="109"/>
      <c r="I843" s="109"/>
      <c r="J843" s="109"/>
      <c r="K843" s="109"/>
      <c r="L843" s="109"/>
      <c r="M843" s="791"/>
      <c r="N843" s="378"/>
      <c r="O843" s="792"/>
      <c r="P843" s="864"/>
      <c r="Q843" s="872"/>
      <c r="R843" s="872"/>
      <c r="S843" s="842"/>
      <c r="T843" s="852"/>
    </row>
    <row r="844" spans="1:20" s="318" customFormat="1">
      <c r="A844" s="915"/>
      <c r="B844" s="919"/>
      <c r="C844" s="913"/>
      <c r="D844" s="302"/>
      <c r="E844" s="819"/>
      <c r="F844" s="302"/>
      <c r="G844" s="302"/>
      <c r="H844" s="302"/>
      <c r="I844" s="302"/>
      <c r="J844" s="302"/>
      <c r="K844" s="302"/>
      <c r="L844" s="302"/>
      <c r="M844" s="9"/>
      <c r="N844" s="375"/>
      <c r="O844" s="789"/>
      <c r="P844" s="863"/>
      <c r="Q844" s="874"/>
      <c r="R844" s="874"/>
      <c r="S844" s="841"/>
      <c r="T844" s="854"/>
    </row>
    <row r="845" spans="1:20" s="318" customFormat="1" ht="15" customHeight="1">
      <c r="A845" s="915"/>
      <c r="B845" s="919"/>
      <c r="C845" s="913"/>
      <c r="D845" s="45"/>
      <c r="E845" s="14"/>
      <c r="F845" s="46"/>
      <c r="G845" s="46" t="s">
        <v>342</v>
      </c>
      <c r="H845" s="47"/>
      <c r="I845" s="76"/>
      <c r="J845" s="13"/>
      <c r="K845" s="13"/>
      <c r="L845" s="13"/>
      <c r="M845" s="9"/>
      <c r="N845" s="375"/>
      <c r="O845" s="789"/>
      <c r="P845" s="863"/>
      <c r="Q845" s="874"/>
      <c r="R845" s="874"/>
      <c r="S845" s="841"/>
      <c r="T845" s="854"/>
    </row>
    <row r="846" spans="1:20" s="318" customFormat="1">
      <c r="A846" s="915"/>
      <c r="B846" s="919"/>
      <c r="C846" s="913"/>
      <c r="D846" s="45"/>
      <c r="E846" s="14"/>
      <c r="F846" s="46"/>
      <c r="G846" s="46"/>
      <c r="H846" s="47"/>
      <c r="I846" s="76"/>
      <c r="J846" s="13"/>
      <c r="K846" s="13"/>
      <c r="L846" s="13"/>
      <c r="M846" s="9"/>
      <c r="N846" s="375"/>
      <c r="O846" s="789"/>
      <c r="P846" s="863"/>
      <c r="Q846" s="874"/>
      <c r="R846" s="874"/>
      <c r="S846" s="841"/>
      <c r="T846" s="854"/>
    </row>
    <row r="847" spans="1:20" s="318" customFormat="1">
      <c r="A847" s="915"/>
      <c r="B847" s="919"/>
      <c r="C847" s="913"/>
      <c r="D847" s="45">
        <v>1</v>
      </c>
      <c r="E847" s="56"/>
      <c r="F847" s="200"/>
      <c r="G847" s="200" t="s">
        <v>1242</v>
      </c>
      <c r="H847" s="18"/>
      <c r="I847" s="51"/>
      <c r="J847" s="20"/>
      <c r="K847" s="20"/>
      <c r="L847" s="20"/>
      <c r="M847" s="9"/>
      <c r="N847" s="375"/>
      <c r="O847" s="789"/>
      <c r="P847" s="863"/>
      <c r="Q847" s="874"/>
      <c r="R847" s="874"/>
      <c r="S847" s="841"/>
      <c r="T847" s="854"/>
    </row>
    <row r="848" spans="1:20" s="318" customFormat="1" hidden="1">
      <c r="A848" s="915"/>
      <c r="B848" s="919"/>
      <c r="C848" s="913"/>
      <c r="D848" s="49" t="s">
        <v>20</v>
      </c>
      <c r="E848" s="820"/>
      <c r="F848" s="206"/>
      <c r="G848" s="206" t="s">
        <v>1241</v>
      </c>
      <c r="H848" s="18"/>
      <c r="I848" s="51"/>
      <c r="J848" s="20"/>
      <c r="K848" s="20"/>
      <c r="L848" s="20"/>
      <c r="M848" s="9"/>
      <c r="N848" s="926"/>
      <c r="O848" s="900"/>
      <c r="P848" s="901"/>
      <c r="Q848" s="874"/>
      <c r="R848" s="874"/>
      <c r="S848" s="841"/>
      <c r="T848" s="854"/>
    </row>
    <row r="849" spans="1:20" s="885" customFormat="1" ht="25.5" hidden="1">
      <c r="A849" s="915"/>
      <c r="B849" s="919"/>
      <c r="C849" s="913"/>
      <c r="D849" s="171" t="s">
        <v>153</v>
      </c>
      <c r="E849" s="349" t="s">
        <v>1239</v>
      </c>
      <c r="F849" s="16"/>
      <c r="G849" s="12" t="s">
        <v>1240</v>
      </c>
      <c r="H849" s="7" t="s">
        <v>326</v>
      </c>
      <c r="I849" s="21">
        <v>1</v>
      </c>
      <c r="J849" s="10">
        <v>70241</v>
      </c>
      <c r="K849" s="10">
        <v>94110</v>
      </c>
      <c r="L849" s="10">
        <v>16.8</v>
      </c>
      <c r="M849" s="9">
        <f t="shared" ref="M849:M912" si="58">ROUND(K849*(L849/100+1),2)</f>
        <v>109920.48</v>
      </c>
      <c r="N849" s="899">
        <v>1</v>
      </c>
      <c r="O849" s="900">
        <f t="shared" si="56"/>
        <v>0</v>
      </c>
      <c r="P849" s="901">
        <f t="shared" ref="P849:P912" si="59">ROUND(O849*M849,2)</f>
        <v>0</v>
      </c>
      <c r="Q849" s="882">
        <v>274</v>
      </c>
      <c r="R849" s="882" t="s">
        <v>2441</v>
      </c>
      <c r="S849" s="883"/>
      <c r="T849" s="884"/>
    </row>
    <row r="850" spans="1:20" s="318" customFormat="1">
      <c r="A850" s="915"/>
      <c r="B850" s="919"/>
      <c r="C850" s="913"/>
      <c r="D850" s="49" t="s">
        <v>19</v>
      </c>
      <c r="E850" s="349"/>
      <c r="F850" s="16"/>
      <c r="G850" s="12" t="s">
        <v>1238</v>
      </c>
      <c r="H850" s="18"/>
      <c r="I850" s="51"/>
      <c r="J850" s="20"/>
      <c r="K850" s="20"/>
      <c r="L850" s="10"/>
      <c r="M850" s="9"/>
      <c r="N850" s="899"/>
      <c r="O850" s="900"/>
      <c r="P850" s="901"/>
      <c r="Q850" s="874"/>
      <c r="R850" s="874"/>
      <c r="S850" s="841"/>
      <c r="T850" s="854"/>
    </row>
    <row r="851" spans="1:20" s="885" customFormat="1" ht="25.5">
      <c r="A851" s="915"/>
      <c r="B851" s="919"/>
      <c r="C851" s="913"/>
      <c r="D851" s="171" t="s">
        <v>147</v>
      </c>
      <c r="E851" s="349" t="s">
        <v>1236</v>
      </c>
      <c r="F851" s="16"/>
      <c r="G851" s="12" t="s">
        <v>1237</v>
      </c>
      <c r="H851" s="7" t="s">
        <v>246</v>
      </c>
      <c r="I851" s="21">
        <v>3</v>
      </c>
      <c r="J851" s="10">
        <v>300</v>
      </c>
      <c r="K851" s="9">
        <f>J851*$S$3</f>
        <v>393</v>
      </c>
      <c r="L851" s="10">
        <v>16.8</v>
      </c>
      <c r="M851" s="9">
        <f t="shared" si="58"/>
        <v>459.02</v>
      </c>
      <c r="N851" s="899">
        <v>0</v>
      </c>
      <c r="O851" s="900">
        <f t="shared" si="56"/>
        <v>3</v>
      </c>
      <c r="P851" s="901">
        <f t="shared" si="59"/>
        <v>1377.06</v>
      </c>
      <c r="Q851" s="882"/>
      <c r="R851" s="882" t="s">
        <v>2446</v>
      </c>
      <c r="S851" s="883"/>
      <c r="T851" s="884"/>
    </row>
    <row r="852" spans="1:20" s="610" customFormat="1" ht="26.25" customHeight="1">
      <c r="A852" s="915"/>
      <c r="B852" s="919" t="s">
        <v>2457</v>
      </c>
      <c r="C852" s="913"/>
      <c r="D852" s="49" t="s">
        <v>213</v>
      </c>
      <c r="E852" s="349" t="s">
        <v>1234</v>
      </c>
      <c r="F852" s="16"/>
      <c r="G852" s="12" t="s">
        <v>1235</v>
      </c>
      <c r="H852" s="7" t="s">
        <v>246</v>
      </c>
      <c r="I852" s="21">
        <v>1</v>
      </c>
      <c r="J852" s="10">
        <v>1800</v>
      </c>
      <c r="K852" s="9">
        <f>J852*$S$3</f>
        <v>2358</v>
      </c>
      <c r="L852" s="10">
        <v>16.8</v>
      </c>
      <c r="M852" s="9">
        <f t="shared" si="58"/>
        <v>2754.14</v>
      </c>
      <c r="N852" s="899">
        <v>0</v>
      </c>
      <c r="O852" s="900">
        <f t="shared" si="56"/>
        <v>1</v>
      </c>
      <c r="P852" s="901">
        <f t="shared" si="59"/>
        <v>2754.14</v>
      </c>
      <c r="Q852" s="873"/>
      <c r="R852" s="873"/>
      <c r="S852" s="840"/>
      <c r="T852" s="853"/>
    </row>
    <row r="853" spans="1:20" s="308" customFormat="1">
      <c r="A853" s="915"/>
      <c r="B853" s="919"/>
      <c r="C853" s="913"/>
      <c r="D853" s="49" t="s">
        <v>18</v>
      </c>
      <c r="E853" s="349"/>
      <c r="F853" s="16"/>
      <c r="G853" s="12" t="s">
        <v>340</v>
      </c>
      <c r="H853" s="18"/>
      <c r="I853" s="51"/>
      <c r="J853" s="20"/>
      <c r="K853" s="20"/>
      <c r="L853" s="10"/>
      <c r="M853" s="9"/>
      <c r="N853" s="899"/>
      <c r="O853" s="900"/>
      <c r="P853" s="901"/>
      <c r="Q853" s="874"/>
      <c r="R853" s="874"/>
      <c r="S853" s="841"/>
      <c r="T853" s="854"/>
    </row>
    <row r="854" spans="1:20" s="610" customFormat="1">
      <c r="A854" s="915"/>
      <c r="B854" s="919" t="s">
        <v>2457</v>
      </c>
      <c r="C854" s="913"/>
      <c r="D854" s="49" t="s">
        <v>201</v>
      </c>
      <c r="E854" s="349" t="s">
        <v>1232</v>
      </c>
      <c r="F854" s="16"/>
      <c r="G854" s="12" t="s">
        <v>1233</v>
      </c>
      <c r="H854" s="7" t="s">
        <v>246</v>
      </c>
      <c r="I854" s="21">
        <v>3</v>
      </c>
      <c r="J854" s="10">
        <v>468.21</v>
      </c>
      <c r="K854" s="9">
        <f t="shared" ref="K854:K864" si="60">J854*$S$3</f>
        <v>613.35509999999999</v>
      </c>
      <c r="L854" s="10">
        <v>16.8</v>
      </c>
      <c r="M854" s="9">
        <f t="shared" si="58"/>
        <v>716.4</v>
      </c>
      <c r="N854" s="899">
        <v>0</v>
      </c>
      <c r="O854" s="900">
        <f t="shared" si="56"/>
        <v>3</v>
      </c>
      <c r="P854" s="901">
        <f t="shared" si="59"/>
        <v>2149.1999999999998</v>
      </c>
      <c r="Q854" s="873"/>
      <c r="R854" s="873"/>
      <c r="S854" s="840"/>
      <c r="T854" s="853"/>
    </row>
    <row r="855" spans="1:20" s="610" customFormat="1">
      <c r="A855" s="915"/>
      <c r="B855" s="919" t="s">
        <v>2457</v>
      </c>
      <c r="C855" s="913"/>
      <c r="D855" s="49" t="s">
        <v>198</v>
      </c>
      <c r="E855" s="349" t="s">
        <v>1230</v>
      </c>
      <c r="F855" s="16"/>
      <c r="G855" s="12" t="s">
        <v>1231</v>
      </c>
      <c r="H855" s="7" t="s">
        <v>246</v>
      </c>
      <c r="I855" s="21">
        <v>1</v>
      </c>
      <c r="J855" s="10">
        <v>664.95</v>
      </c>
      <c r="K855" s="9">
        <f t="shared" si="60"/>
        <v>871.08450000000005</v>
      </c>
      <c r="L855" s="10">
        <v>16.8</v>
      </c>
      <c r="M855" s="9">
        <f t="shared" si="58"/>
        <v>1017.43</v>
      </c>
      <c r="N855" s="899">
        <v>0</v>
      </c>
      <c r="O855" s="900">
        <f t="shared" si="56"/>
        <v>1</v>
      </c>
      <c r="P855" s="901">
        <f t="shared" si="59"/>
        <v>1017.43</v>
      </c>
      <c r="Q855" s="873"/>
      <c r="R855" s="873"/>
      <c r="S855" s="840"/>
      <c r="T855" s="853"/>
    </row>
    <row r="856" spans="1:20" s="610" customFormat="1">
      <c r="A856" s="915"/>
      <c r="B856" s="919" t="s">
        <v>2457</v>
      </c>
      <c r="C856" s="913"/>
      <c r="D856" s="49" t="s">
        <v>390</v>
      </c>
      <c r="E856" s="349" t="s">
        <v>1228</v>
      </c>
      <c r="F856" s="16"/>
      <c r="G856" s="12" t="s">
        <v>1229</v>
      </c>
      <c r="H856" s="7" t="s">
        <v>246</v>
      </c>
      <c r="I856" s="21">
        <v>6</v>
      </c>
      <c r="J856" s="10">
        <v>1200.06</v>
      </c>
      <c r="K856" s="9">
        <f t="shared" si="60"/>
        <v>1572.0786000000001</v>
      </c>
      <c r="L856" s="10">
        <v>16.8</v>
      </c>
      <c r="M856" s="9">
        <f t="shared" si="58"/>
        <v>1836.19</v>
      </c>
      <c r="N856" s="899">
        <v>0</v>
      </c>
      <c r="O856" s="900">
        <f t="shared" si="56"/>
        <v>6</v>
      </c>
      <c r="P856" s="901">
        <f t="shared" si="59"/>
        <v>11017.14</v>
      </c>
      <c r="Q856" s="873"/>
      <c r="R856" s="873"/>
      <c r="S856" s="840"/>
      <c r="T856" s="853"/>
    </row>
    <row r="857" spans="1:20" s="610" customFormat="1">
      <c r="A857" s="915"/>
      <c r="B857" s="919" t="s">
        <v>2457</v>
      </c>
      <c r="C857" s="913"/>
      <c r="D857" s="49" t="s">
        <v>387</v>
      </c>
      <c r="E857" s="349" t="s">
        <v>1226</v>
      </c>
      <c r="F857" s="16"/>
      <c r="G857" s="12" t="s">
        <v>1227</v>
      </c>
      <c r="H857" s="7" t="s">
        <v>246</v>
      </c>
      <c r="I857" s="21">
        <v>2</v>
      </c>
      <c r="J857" s="10">
        <v>1214.27</v>
      </c>
      <c r="K857" s="9">
        <f t="shared" si="60"/>
        <v>1590.6937</v>
      </c>
      <c r="L857" s="10">
        <v>16.8</v>
      </c>
      <c r="M857" s="9">
        <f t="shared" si="58"/>
        <v>1857.93</v>
      </c>
      <c r="N857" s="899">
        <v>0</v>
      </c>
      <c r="O857" s="900">
        <f t="shared" si="56"/>
        <v>2</v>
      </c>
      <c r="P857" s="901">
        <f t="shared" si="59"/>
        <v>3715.86</v>
      </c>
      <c r="Q857" s="873"/>
      <c r="R857" s="873"/>
      <c r="S857" s="840"/>
      <c r="T857" s="853"/>
    </row>
    <row r="858" spans="1:20" s="610" customFormat="1">
      <c r="A858" s="915"/>
      <c r="B858" s="919" t="s">
        <v>2457</v>
      </c>
      <c r="C858" s="913"/>
      <c r="D858" s="49" t="s">
        <v>384</v>
      </c>
      <c r="E858" s="349" t="s">
        <v>1224</v>
      </c>
      <c r="F858" s="16"/>
      <c r="G858" s="12" t="s">
        <v>1225</v>
      </c>
      <c r="H858" s="7" t="s">
        <v>246</v>
      </c>
      <c r="I858" s="21">
        <v>2</v>
      </c>
      <c r="J858" s="10">
        <v>1112.1400000000001</v>
      </c>
      <c r="K858" s="9">
        <f t="shared" si="60"/>
        <v>1456.9034000000001</v>
      </c>
      <c r="L858" s="10">
        <v>16.8</v>
      </c>
      <c r="M858" s="9">
        <f t="shared" si="58"/>
        <v>1701.66</v>
      </c>
      <c r="N858" s="899">
        <v>0</v>
      </c>
      <c r="O858" s="900">
        <f t="shared" si="56"/>
        <v>2</v>
      </c>
      <c r="P858" s="901">
        <f t="shared" si="59"/>
        <v>3403.32</v>
      </c>
      <c r="Q858" s="873"/>
      <c r="R858" s="873"/>
      <c r="S858" s="840"/>
      <c r="T858" s="853"/>
    </row>
    <row r="859" spans="1:20" s="610" customFormat="1">
      <c r="A859" s="915"/>
      <c r="B859" s="919" t="s">
        <v>2457</v>
      </c>
      <c r="C859" s="913"/>
      <c r="D859" s="49" t="s">
        <v>381</v>
      </c>
      <c r="E859" s="349" t="s">
        <v>1222</v>
      </c>
      <c r="F859" s="16"/>
      <c r="G859" s="12" t="s">
        <v>1223</v>
      </c>
      <c r="H859" s="7" t="s">
        <v>246</v>
      </c>
      <c r="I859" s="21">
        <v>1</v>
      </c>
      <c r="J859" s="10">
        <v>1087.46</v>
      </c>
      <c r="K859" s="9">
        <f t="shared" si="60"/>
        <v>1424.5726000000002</v>
      </c>
      <c r="L859" s="10">
        <v>16.8</v>
      </c>
      <c r="M859" s="9">
        <f t="shared" si="58"/>
        <v>1663.9</v>
      </c>
      <c r="N859" s="899">
        <v>0</v>
      </c>
      <c r="O859" s="900">
        <f t="shared" si="56"/>
        <v>1</v>
      </c>
      <c r="P859" s="901">
        <f t="shared" si="59"/>
        <v>1663.9</v>
      </c>
      <c r="Q859" s="873"/>
      <c r="R859" s="873"/>
      <c r="S859" s="840"/>
      <c r="T859" s="853"/>
    </row>
    <row r="860" spans="1:20" s="610" customFormat="1">
      <c r="A860" s="915"/>
      <c r="B860" s="919" t="s">
        <v>2457</v>
      </c>
      <c r="C860" s="913"/>
      <c r="D860" s="49" t="s">
        <v>378</v>
      </c>
      <c r="E860" s="935" t="s">
        <v>1897</v>
      </c>
      <c r="F860" s="353"/>
      <c r="G860" s="12" t="s">
        <v>1221</v>
      </c>
      <c r="H860" s="7" t="s">
        <v>246</v>
      </c>
      <c r="I860" s="21">
        <v>2</v>
      </c>
      <c r="J860" s="10">
        <v>300</v>
      </c>
      <c r="K860" s="9">
        <f t="shared" si="60"/>
        <v>393</v>
      </c>
      <c r="L860" s="10">
        <v>16.8</v>
      </c>
      <c r="M860" s="9">
        <f t="shared" si="58"/>
        <v>459.02</v>
      </c>
      <c r="N860" s="376">
        <v>0</v>
      </c>
      <c r="O860" s="789">
        <f t="shared" si="56"/>
        <v>2</v>
      </c>
      <c r="P860" s="863">
        <f t="shared" si="59"/>
        <v>918.04</v>
      </c>
      <c r="Q860" s="873"/>
      <c r="R860" s="873"/>
      <c r="S860" s="840"/>
      <c r="T860" s="853"/>
    </row>
    <row r="861" spans="1:20" s="610" customFormat="1">
      <c r="A861" s="915"/>
      <c r="B861" s="919" t="s">
        <v>2457</v>
      </c>
      <c r="C861" s="913"/>
      <c r="D861" s="49" t="s">
        <v>777</v>
      </c>
      <c r="E861" s="349" t="s">
        <v>1219</v>
      </c>
      <c r="F861" s="16"/>
      <c r="G861" s="12" t="s">
        <v>1220</v>
      </c>
      <c r="H861" s="7" t="s">
        <v>246</v>
      </c>
      <c r="I861" s="21">
        <v>1</v>
      </c>
      <c r="J861" s="10">
        <v>821.8</v>
      </c>
      <c r="K861" s="9">
        <f t="shared" si="60"/>
        <v>1076.558</v>
      </c>
      <c r="L861" s="10">
        <v>16.8</v>
      </c>
      <c r="M861" s="9">
        <f t="shared" si="58"/>
        <v>1257.42</v>
      </c>
      <c r="N861" s="376">
        <v>0</v>
      </c>
      <c r="O861" s="789">
        <f t="shared" si="56"/>
        <v>1</v>
      </c>
      <c r="P861" s="863">
        <f t="shared" si="59"/>
        <v>1257.42</v>
      </c>
      <c r="Q861" s="873"/>
      <c r="R861" s="873"/>
      <c r="S861" s="840"/>
      <c r="T861" s="853"/>
    </row>
    <row r="862" spans="1:20" s="610" customFormat="1">
      <c r="A862" s="915"/>
      <c r="B862" s="919" t="s">
        <v>2457</v>
      </c>
      <c r="C862" s="913"/>
      <c r="D862" s="49" t="s">
        <v>776</v>
      </c>
      <c r="E862" s="349" t="s">
        <v>1217</v>
      </c>
      <c r="F862" s="16"/>
      <c r="G862" s="12" t="s">
        <v>1218</v>
      </c>
      <c r="H862" s="7" t="s">
        <v>246</v>
      </c>
      <c r="I862" s="21">
        <v>1</v>
      </c>
      <c r="J862" s="10">
        <v>1178.49</v>
      </c>
      <c r="K862" s="9">
        <f t="shared" si="60"/>
        <v>1543.8219000000001</v>
      </c>
      <c r="L862" s="10">
        <v>16.8</v>
      </c>
      <c r="M862" s="9">
        <f t="shared" si="58"/>
        <v>1803.18</v>
      </c>
      <c r="N862" s="376">
        <v>0</v>
      </c>
      <c r="O862" s="789">
        <f t="shared" si="56"/>
        <v>1</v>
      </c>
      <c r="P862" s="863">
        <f t="shared" si="59"/>
        <v>1803.18</v>
      </c>
      <c r="Q862" s="873"/>
      <c r="R862" s="873"/>
      <c r="S862" s="840"/>
      <c r="T862" s="853"/>
    </row>
    <row r="863" spans="1:20" s="610" customFormat="1">
      <c r="A863" s="915"/>
      <c r="B863" s="919" t="s">
        <v>2457</v>
      </c>
      <c r="C863" s="913"/>
      <c r="D863" s="49" t="s">
        <v>775</v>
      </c>
      <c r="E863" s="349" t="s">
        <v>1215</v>
      </c>
      <c r="F863" s="16"/>
      <c r="G863" s="12" t="s">
        <v>1216</v>
      </c>
      <c r="H863" s="7" t="s">
        <v>246</v>
      </c>
      <c r="I863" s="21">
        <v>1</v>
      </c>
      <c r="J863" s="10">
        <v>489.28</v>
      </c>
      <c r="K863" s="9">
        <f t="shared" si="60"/>
        <v>640.95680000000004</v>
      </c>
      <c r="L863" s="10">
        <v>16.8</v>
      </c>
      <c r="M863" s="9">
        <f t="shared" si="58"/>
        <v>748.64</v>
      </c>
      <c r="N863" s="376">
        <v>0</v>
      </c>
      <c r="O863" s="789">
        <f t="shared" si="56"/>
        <v>1</v>
      </c>
      <c r="P863" s="863">
        <f t="shared" si="59"/>
        <v>748.64</v>
      </c>
      <c r="Q863" s="873"/>
      <c r="R863" s="873"/>
      <c r="S863" s="840"/>
      <c r="T863" s="853"/>
    </row>
    <row r="864" spans="1:20" s="610" customFormat="1">
      <c r="A864" s="915"/>
      <c r="B864" s="919" t="s">
        <v>2457</v>
      </c>
      <c r="C864" s="913"/>
      <c r="D864" s="49" t="s">
        <v>899</v>
      </c>
      <c r="E864" s="349" t="s">
        <v>1213</v>
      </c>
      <c r="F864" s="16"/>
      <c r="G864" s="12" t="s">
        <v>1214</v>
      </c>
      <c r="H864" s="7" t="s">
        <v>246</v>
      </c>
      <c r="I864" s="21">
        <v>1</v>
      </c>
      <c r="J864" s="10">
        <v>634.78</v>
      </c>
      <c r="K864" s="9">
        <f t="shared" si="60"/>
        <v>831.56179999999995</v>
      </c>
      <c r="L864" s="10">
        <v>16.8</v>
      </c>
      <c r="M864" s="9">
        <f t="shared" si="58"/>
        <v>971.26</v>
      </c>
      <c r="N864" s="376">
        <v>0</v>
      </c>
      <c r="O864" s="789">
        <f t="shared" si="56"/>
        <v>1</v>
      </c>
      <c r="P864" s="863">
        <f t="shared" si="59"/>
        <v>971.26</v>
      </c>
      <c r="Q864" s="873"/>
      <c r="R864" s="873"/>
      <c r="S864" s="840"/>
      <c r="T864" s="853"/>
    </row>
    <row r="865" spans="1:20" s="318" customFormat="1">
      <c r="A865" s="915"/>
      <c r="B865" s="919"/>
      <c r="C865" s="913"/>
      <c r="D865" s="49" t="s">
        <v>17</v>
      </c>
      <c r="E865" s="349"/>
      <c r="F865" s="16"/>
      <c r="G865" s="12" t="s">
        <v>335</v>
      </c>
      <c r="H865" s="18"/>
      <c r="I865" s="51"/>
      <c r="J865" s="20"/>
      <c r="K865" s="20"/>
      <c r="L865" s="10"/>
      <c r="M865" s="9"/>
      <c r="N865" s="376"/>
      <c r="O865" s="789"/>
      <c r="P865" s="863"/>
      <c r="Q865" s="874"/>
      <c r="R865" s="874"/>
      <c r="S865" s="841"/>
      <c r="T865" s="854"/>
    </row>
    <row r="866" spans="1:20" s="610" customFormat="1">
      <c r="A866" s="915"/>
      <c r="B866" s="919" t="s">
        <v>2457</v>
      </c>
      <c r="C866" s="913"/>
      <c r="D866" s="49" t="s">
        <v>195</v>
      </c>
      <c r="E866" s="349" t="s">
        <v>1211</v>
      </c>
      <c r="F866" s="16"/>
      <c r="G866" s="12" t="s">
        <v>1212</v>
      </c>
      <c r="H866" s="7" t="s">
        <v>246</v>
      </c>
      <c r="I866" s="21">
        <v>3</v>
      </c>
      <c r="J866" s="10">
        <v>109.68</v>
      </c>
      <c r="K866" s="9">
        <f>J866*$S$3</f>
        <v>143.6808</v>
      </c>
      <c r="L866" s="10">
        <v>16.8</v>
      </c>
      <c r="M866" s="9">
        <f t="shared" si="58"/>
        <v>167.82</v>
      </c>
      <c r="N866" s="376">
        <v>0</v>
      </c>
      <c r="O866" s="789">
        <f t="shared" si="56"/>
        <v>3</v>
      </c>
      <c r="P866" s="863">
        <f t="shared" si="59"/>
        <v>503.46</v>
      </c>
      <c r="Q866" s="873"/>
      <c r="R866" s="873"/>
      <c r="S866" s="840"/>
      <c r="T866" s="853"/>
    </row>
    <row r="867" spans="1:20" s="610" customFormat="1">
      <c r="A867" s="915"/>
      <c r="B867" s="919" t="s">
        <v>2457</v>
      </c>
      <c r="C867" s="913"/>
      <c r="D867" s="49" t="s">
        <v>192</v>
      </c>
      <c r="E867" s="349" t="s">
        <v>1209</v>
      </c>
      <c r="F867" s="16"/>
      <c r="G867" s="12" t="s">
        <v>1210</v>
      </c>
      <c r="H867" s="7" t="s">
        <v>246</v>
      </c>
      <c r="I867" s="21">
        <v>12</v>
      </c>
      <c r="J867" s="10">
        <v>127.25</v>
      </c>
      <c r="K867" s="9">
        <f>J867*$S$3</f>
        <v>166.69750000000002</v>
      </c>
      <c r="L867" s="10">
        <v>16.8</v>
      </c>
      <c r="M867" s="9">
        <f t="shared" si="58"/>
        <v>194.7</v>
      </c>
      <c r="N867" s="376">
        <v>0</v>
      </c>
      <c r="O867" s="789">
        <f t="shared" ref="O867:O930" si="61">I867-N867</f>
        <v>12</v>
      </c>
      <c r="P867" s="863">
        <f t="shared" si="59"/>
        <v>2336.4</v>
      </c>
      <c r="Q867" s="873"/>
      <c r="R867" s="873"/>
      <c r="S867" s="840"/>
      <c r="T867" s="853"/>
    </row>
    <row r="868" spans="1:20" s="610" customFormat="1">
      <c r="A868" s="915"/>
      <c r="B868" s="919" t="s">
        <v>2457</v>
      </c>
      <c r="C868" s="913"/>
      <c r="D868" s="49" t="s">
        <v>280</v>
      </c>
      <c r="E868" s="349" t="s">
        <v>1207</v>
      </c>
      <c r="F868" s="16"/>
      <c r="G868" s="12" t="s">
        <v>1208</v>
      </c>
      <c r="H868" s="7" t="s">
        <v>246</v>
      </c>
      <c r="I868" s="21">
        <v>4</v>
      </c>
      <c r="J868" s="10">
        <v>82.76</v>
      </c>
      <c r="K868" s="9">
        <f>J868*$S$3</f>
        <v>108.41560000000001</v>
      </c>
      <c r="L868" s="10">
        <v>16.8</v>
      </c>
      <c r="M868" s="9">
        <f t="shared" si="58"/>
        <v>126.63</v>
      </c>
      <c r="N868" s="376">
        <v>0</v>
      </c>
      <c r="O868" s="789">
        <f t="shared" si="61"/>
        <v>4</v>
      </c>
      <c r="P868" s="863">
        <f t="shared" si="59"/>
        <v>506.52</v>
      </c>
      <c r="Q868" s="873"/>
      <c r="R868" s="873"/>
      <c r="S868" s="840"/>
      <c r="T868" s="853"/>
    </row>
    <row r="869" spans="1:20" s="610" customFormat="1">
      <c r="A869" s="915"/>
      <c r="B869" s="919" t="s">
        <v>2457</v>
      </c>
      <c r="C869" s="913"/>
      <c r="D869" s="49" t="s">
        <v>277</v>
      </c>
      <c r="E869" s="349" t="s">
        <v>724</v>
      </c>
      <c r="F869" s="16"/>
      <c r="G869" s="12" t="s">
        <v>1206</v>
      </c>
      <c r="H869" s="7" t="s">
        <v>246</v>
      </c>
      <c r="I869" s="21">
        <v>2</v>
      </c>
      <c r="J869" s="10">
        <v>147.74</v>
      </c>
      <c r="K869" s="9">
        <f>J869*$S$3</f>
        <v>193.53940000000003</v>
      </c>
      <c r="L869" s="10">
        <v>16.8</v>
      </c>
      <c r="M869" s="9">
        <f t="shared" si="58"/>
        <v>226.05</v>
      </c>
      <c r="N869" s="376">
        <v>0</v>
      </c>
      <c r="O869" s="789">
        <f t="shared" si="61"/>
        <v>2</v>
      </c>
      <c r="P869" s="863">
        <f t="shared" si="59"/>
        <v>452.1</v>
      </c>
      <c r="Q869" s="873"/>
      <c r="R869" s="873"/>
      <c r="S869" s="840"/>
      <c r="T869" s="853"/>
    </row>
    <row r="870" spans="1:20" s="318" customFormat="1">
      <c r="A870" s="915"/>
      <c r="B870" s="919"/>
      <c r="C870" s="913"/>
      <c r="D870" s="49" t="s">
        <v>16</v>
      </c>
      <c r="E870" s="349"/>
      <c r="F870" s="16"/>
      <c r="G870" s="204" t="s">
        <v>1205</v>
      </c>
      <c r="H870" s="18"/>
      <c r="I870" s="51"/>
      <c r="J870" s="20"/>
      <c r="K870" s="20"/>
      <c r="L870" s="10"/>
      <c r="M870" s="9"/>
      <c r="N870" s="376"/>
      <c r="O870" s="789"/>
      <c r="P870" s="863"/>
      <c r="Q870" s="874"/>
      <c r="R870" s="874"/>
      <c r="S870" s="841"/>
      <c r="T870" s="854"/>
    </row>
    <row r="871" spans="1:20" s="610" customFormat="1">
      <c r="A871" s="915"/>
      <c r="B871" s="919" t="s">
        <v>2457</v>
      </c>
      <c r="C871" s="913"/>
      <c r="D871" s="49" t="s">
        <v>270</v>
      </c>
      <c r="E871" s="349" t="s">
        <v>1203</v>
      </c>
      <c r="F871" s="16"/>
      <c r="G871" s="206" t="s">
        <v>1204</v>
      </c>
      <c r="H871" s="7" t="s">
        <v>246</v>
      </c>
      <c r="I871" s="51">
        <v>1</v>
      </c>
      <c r="J871" s="20">
        <v>2.89</v>
      </c>
      <c r="K871" s="9">
        <f>J871*$S$3</f>
        <v>3.7859000000000003</v>
      </c>
      <c r="L871" s="10">
        <v>16.8</v>
      </c>
      <c r="M871" s="9">
        <f t="shared" si="58"/>
        <v>4.42</v>
      </c>
      <c r="N871" s="376">
        <v>0</v>
      </c>
      <c r="O871" s="789">
        <f t="shared" si="61"/>
        <v>1</v>
      </c>
      <c r="P871" s="863">
        <f t="shared" si="59"/>
        <v>4.42</v>
      </c>
      <c r="Q871" s="873"/>
      <c r="R871" s="873"/>
      <c r="S871" s="840"/>
      <c r="T871" s="853"/>
    </row>
    <row r="872" spans="1:20" s="318" customFormat="1">
      <c r="A872" s="915"/>
      <c r="B872" s="919"/>
      <c r="C872" s="913"/>
      <c r="D872" s="49"/>
      <c r="E872" s="349"/>
      <c r="F872" s="16"/>
      <c r="G872" s="206"/>
      <c r="H872" s="7"/>
      <c r="I872" s="51"/>
      <c r="J872" s="20"/>
      <c r="K872" s="20"/>
      <c r="L872" s="10"/>
      <c r="M872" s="9"/>
      <c r="N872" s="376"/>
      <c r="O872" s="789"/>
      <c r="P872" s="863"/>
      <c r="Q872" s="874"/>
      <c r="R872" s="874"/>
      <c r="S872" s="841"/>
      <c r="T872" s="854"/>
    </row>
    <row r="873" spans="1:20" s="318" customFormat="1">
      <c r="A873" s="915"/>
      <c r="B873" s="919"/>
      <c r="C873" s="913"/>
      <c r="D873" s="49"/>
      <c r="E873" s="349"/>
      <c r="F873" s="16"/>
      <c r="G873" s="206"/>
      <c r="H873" s="7"/>
      <c r="I873" s="51"/>
      <c r="J873" s="20"/>
      <c r="K873" s="20"/>
      <c r="L873" s="10"/>
      <c r="M873" s="9"/>
      <c r="N873" s="376"/>
      <c r="O873" s="789"/>
      <c r="P873" s="863"/>
      <c r="Q873" s="874"/>
      <c r="R873" s="874"/>
      <c r="S873" s="841"/>
      <c r="T873" s="854"/>
    </row>
    <row r="874" spans="1:20" s="318" customFormat="1">
      <c r="A874" s="915"/>
      <c r="B874" s="919"/>
      <c r="C874" s="913"/>
      <c r="D874" s="49" t="s">
        <v>15</v>
      </c>
      <c r="E874" s="349"/>
      <c r="F874" s="16"/>
      <c r="G874" s="204" t="s">
        <v>1202</v>
      </c>
      <c r="H874" s="7"/>
      <c r="I874" s="21"/>
      <c r="J874" s="10"/>
      <c r="K874" s="10"/>
      <c r="L874" s="10"/>
      <c r="M874" s="9"/>
      <c r="N874" s="376"/>
      <c r="O874" s="789"/>
      <c r="P874" s="863"/>
      <c r="Q874" s="874"/>
      <c r="R874" s="874"/>
      <c r="S874" s="841"/>
      <c r="T874" s="854"/>
    </row>
    <row r="875" spans="1:20" s="610" customFormat="1" ht="25.5">
      <c r="A875" s="915"/>
      <c r="B875" s="919" t="s">
        <v>2457</v>
      </c>
      <c r="C875" s="913"/>
      <c r="D875" s="49" t="s">
        <v>249</v>
      </c>
      <c r="E875" s="349" t="s">
        <v>1200</v>
      </c>
      <c r="F875" s="16"/>
      <c r="G875" s="12" t="s">
        <v>1201</v>
      </c>
      <c r="H875" s="7" t="s">
        <v>326</v>
      </c>
      <c r="I875" s="21">
        <v>40</v>
      </c>
      <c r="J875" s="10">
        <v>58.27</v>
      </c>
      <c r="K875" s="9">
        <f>J875*$S$3</f>
        <v>76.333700000000007</v>
      </c>
      <c r="L875" s="10">
        <v>16.8</v>
      </c>
      <c r="M875" s="9">
        <f t="shared" si="58"/>
        <v>89.16</v>
      </c>
      <c r="N875" s="376">
        <v>0</v>
      </c>
      <c r="O875" s="789">
        <f t="shared" si="61"/>
        <v>40</v>
      </c>
      <c r="P875" s="863">
        <f t="shared" si="59"/>
        <v>3566.4</v>
      </c>
      <c r="Q875" s="873"/>
      <c r="R875" s="873"/>
      <c r="S875" s="840"/>
      <c r="T875" s="853"/>
    </row>
    <row r="876" spans="1:20" s="610" customFormat="1" ht="25.5">
      <c r="A876" s="915"/>
      <c r="B876" s="919" t="s">
        <v>2457</v>
      </c>
      <c r="C876" s="913"/>
      <c r="D876" s="49" t="s">
        <v>265</v>
      </c>
      <c r="E876" s="349" t="s">
        <v>581</v>
      </c>
      <c r="F876" s="16"/>
      <c r="G876" s="12" t="s">
        <v>582</v>
      </c>
      <c r="H876" s="7" t="s">
        <v>326</v>
      </c>
      <c r="I876" s="21">
        <v>3</v>
      </c>
      <c r="J876" s="10">
        <v>59.55</v>
      </c>
      <c r="K876" s="9">
        <f>J876*$S$3</f>
        <v>78.010499999999993</v>
      </c>
      <c r="L876" s="10">
        <v>16.8</v>
      </c>
      <c r="M876" s="9">
        <f t="shared" si="58"/>
        <v>91.12</v>
      </c>
      <c r="N876" s="376">
        <v>0</v>
      </c>
      <c r="O876" s="789">
        <f t="shared" si="61"/>
        <v>3</v>
      </c>
      <c r="P876" s="863">
        <f t="shared" si="59"/>
        <v>273.36</v>
      </c>
      <c r="Q876" s="873"/>
      <c r="R876" s="873"/>
      <c r="S876" s="840"/>
      <c r="T876" s="853"/>
    </row>
    <row r="877" spans="1:20" s="318" customFormat="1">
      <c r="A877" s="915"/>
      <c r="B877" s="919"/>
      <c r="C877" s="913"/>
      <c r="D877" s="49"/>
      <c r="E877" s="820"/>
      <c r="F877" s="206"/>
      <c r="G877" s="206"/>
      <c r="H877" s="18"/>
      <c r="I877" s="51"/>
      <c r="J877" s="20"/>
      <c r="K877" s="20"/>
      <c r="L877" s="20"/>
      <c r="M877" s="9"/>
      <c r="N877" s="375"/>
      <c r="O877" s="789"/>
      <c r="P877" s="863"/>
      <c r="Q877" s="874"/>
      <c r="R877" s="874"/>
      <c r="S877" s="841"/>
      <c r="T877" s="854"/>
    </row>
    <row r="878" spans="1:20" s="318" customFormat="1">
      <c r="A878" s="915"/>
      <c r="B878" s="919"/>
      <c r="C878" s="913"/>
      <c r="D878" s="49"/>
      <c r="E878" s="14"/>
      <c r="F878" s="14"/>
      <c r="G878" s="14"/>
      <c r="H878" s="7"/>
      <c r="I878" s="21"/>
      <c r="J878" s="10"/>
      <c r="K878" s="10"/>
      <c r="L878" s="10"/>
      <c r="M878" s="9"/>
      <c r="N878" s="380"/>
      <c r="O878" s="789"/>
      <c r="P878" s="863"/>
      <c r="Q878" s="874"/>
      <c r="R878" s="874"/>
      <c r="S878" s="841"/>
      <c r="T878" s="854"/>
    </row>
    <row r="879" spans="1:20" s="337" customFormat="1">
      <c r="A879" s="918"/>
      <c r="B879" s="922"/>
      <c r="C879" s="924"/>
      <c r="D879" s="338"/>
      <c r="E879" s="340"/>
      <c r="F879" s="338"/>
      <c r="G879" s="340" t="s">
        <v>70</v>
      </c>
      <c r="H879" s="338">
        <f>D842</f>
        <v>23</v>
      </c>
      <c r="I879" s="338"/>
      <c r="J879" s="338"/>
      <c r="K879" s="338"/>
      <c r="L879" s="338"/>
      <c r="M879" s="9"/>
      <c r="N879" s="381"/>
      <c r="O879" s="789"/>
      <c r="P879" s="863">
        <f>SUM(P849:P876)</f>
        <v>40439.25</v>
      </c>
      <c r="Q879" s="874"/>
      <c r="R879" s="874"/>
      <c r="S879" s="841"/>
      <c r="T879" s="854"/>
    </row>
    <row r="880" spans="1:20" s="318" customFormat="1">
      <c r="A880" s="915"/>
      <c r="B880" s="919"/>
      <c r="C880" s="913"/>
      <c r="D880" s="339"/>
      <c r="E880" s="409"/>
      <c r="F880" s="339"/>
      <c r="G880" s="339"/>
      <c r="H880" s="339"/>
      <c r="I880" s="339"/>
      <c r="J880" s="339"/>
      <c r="K880" s="339"/>
      <c r="L880" s="339"/>
      <c r="M880" s="9"/>
      <c r="N880" s="375"/>
      <c r="O880" s="789"/>
      <c r="P880" s="863"/>
      <c r="Q880" s="874"/>
      <c r="R880" s="874"/>
      <c r="S880" s="841"/>
      <c r="T880" s="854"/>
    </row>
    <row r="881" spans="1:20" s="310" customFormat="1">
      <c r="A881" s="915"/>
      <c r="B881" s="919"/>
      <c r="C881" s="913"/>
      <c r="D881" s="108" t="s">
        <v>47</v>
      </c>
      <c r="E881" s="813"/>
      <c r="F881" s="109"/>
      <c r="G881" s="108" t="s">
        <v>2010</v>
      </c>
      <c r="H881" s="109"/>
      <c r="I881" s="109"/>
      <c r="J881" s="109"/>
      <c r="K881" s="109"/>
      <c r="L881" s="109"/>
      <c r="M881" s="791"/>
      <c r="N881" s="378"/>
      <c r="O881" s="792"/>
      <c r="P881" s="864"/>
      <c r="Q881" s="872"/>
      <c r="R881" s="872"/>
      <c r="S881" s="842"/>
      <c r="T881" s="852"/>
    </row>
    <row r="882" spans="1:20" s="318" customFormat="1">
      <c r="A882" s="915"/>
      <c r="B882" s="919"/>
      <c r="C882" s="913"/>
      <c r="D882" s="302"/>
      <c r="E882" s="819"/>
      <c r="F882" s="302"/>
      <c r="G882" s="302"/>
      <c r="H882" s="302"/>
      <c r="I882" s="302"/>
      <c r="J882" s="302"/>
      <c r="K882" s="302"/>
      <c r="L882" s="302"/>
      <c r="M882" s="9"/>
      <c r="N882" s="375"/>
      <c r="O882" s="789"/>
      <c r="P882" s="863"/>
      <c r="Q882" s="874"/>
      <c r="R882" s="874"/>
      <c r="S882" s="841"/>
      <c r="T882" s="854"/>
    </row>
    <row r="883" spans="1:20" s="318" customFormat="1" ht="25.5">
      <c r="A883" s="915"/>
      <c r="B883" s="919"/>
      <c r="C883" s="913"/>
      <c r="D883" s="45"/>
      <c r="E883" s="57"/>
      <c r="F883" s="57"/>
      <c r="G883" s="46" t="s">
        <v>1269</v>
      </c>
      <c r="H883" s="47"/>
      <c r="I883" s="48"/>
      <c r="J883" s="9"/>
      <c r="K883" s="9"/>
      <c r="L883" s="9"/>
      <c r="M883" s="9"/>
      <c r="N883" s="375"/>
      <c r="O883" s="789"/>
      <c r="P883" s="863"/>
      <c r="Q883" s="874"/>
      <c r="R883" s="874"/>
      <c r="S883" s="841"/>
      <c r="T883" s="854"/>
    </row>
    <row r="884" spans="1:20" s="318" customFormat="1">
      <c r="A884" s="915"/>
      <c r="B884" s="919"/>
      <c r="C884" s="913"/>
      <c r="D884" s="45"/>
      <c r="E884" s="57"/>
      <c r="F884" s="57"/>
      <c r="G884" s="46"/>
      <c r="H884" s="47"/>
      <c r="I884" s="48"/>
      <c r="J884" s="9"/>
      <c r="K884" s="9"/>
      <c r="L884" s="9"/>
      <c r="M884" s="9"/>
      <c r="N884" s="375"/>
      <c r="O884" s="789"/>
      <c r="P884" s="863"/>
      <c r="Q884" s="874"/>
      <c r="R884" s="874"/>
      <c r="S884" s="841"/>
      <c r="T884" s="854"/>
    </row>
    <row r="885" spans="1:20" s="318" customFormat="1">
      <c r="A885" s="915"/>
      <c r="B885" s="919"/>
      <c r="C885" s="913"/>
      <c r="D885" s="45">
        <v>1</v>
      </c>
      <c r="E885" s="57"/>
      <c r="F885" s="57"/>
      <c r="G885" s="46" t="s">
        <v>1268</v>
      </c>
      <c r="H885" s="47"/>
      <c r="I885" s="48"/>
      <c r="J885" s="9"/>
      <c r="K885" s="9"/>
      <c r="L885" s="9"/>
      <c r="M885" s="9"/>
      <c r="N885" s="375"/>
      <c r="O885" s="789"/>
      <c r="P885" s="863"/>
      <c r="Q885" s="874"/>
      <c r="R885" s="874"/>
      <c r="S885" s="841"/>
      <c r="T885" s="854"/>
    </row>
    <row r="886" spans="1:20" s="318" customFormat="1">
      <c r="A886" s="915"/>
      <c r="B886" s="919"/>
      <c r="C886" s="913"/>
      <c r="D886" s="49" t="s">
        <v>20</v>
      </c>
      <c r="E886" s="57"/>
      <c r="F886" s="57"/>
      <c r="G886" s="12" t="s">
        <v>1267</v>
      </c>
      <c r="H886" s="47"/>
      <c r="I886" s="48"/>
      <c r="J886" s="9"/>
      <c r="K886" s="9"/>
      <c r="L886" s="9"/>
      <c r="M886" s="9"/>
      <c r="N886" s="375"/>
      <c r="O886" s="789"/>
      <c r="P886" s="863"/>
      <c r="Q886" s="874"/>
      <c r="R886" s="874"/>
      <c r="S886" s="841"/>
      <c r="T886" s="854"/>
    </row>
    <row r="887" spans="1:20" s="610" customFormat="1" ht="38.25">
      <c r="A887" s="915"/>
      <c r="B887" s="919"/>
      <c r="C887" s="913" t="s">
        <v>2455</v>
      </c>
      <c r="D887" s="49" t="s">
        <v>153</v>
      </c>
      <c r="E887" s="57" t="s">
        <v>1265</v>
      </c>
      <c r="F887" s="50"/>
      <c r="G887" s="12" t="s">
        <v>1266</v>
      </c>
      <c r="H887" s="18" t="s">
        <v>183</v>
      </c>
      <c r="I887" s="36">
        <v>1</v>
      </c>
      <c r="J887" s="9">
        <v>1260</v>
      </c>
      <c r="K887" s="9">
        <f>J887*$S$3</f>
        <v>1650.6000000000001</v>
      </c>
      <c r="L887" s="9">
        <v>16.8</v>
      </c>
      <c r="M887" s="9">
        <f t="shared" si="58"/>
        <v>1927.9</v>
      </c>
      <c r="N887" s="376">
        <v>0</v>
      </c>
      <c r="O887" s="789">
        <f t="shared" si="61"/>
        <v>1</v>
      </c>
      <c r="P887" s="863">
        <f t="shared" si="59"/>
        <v>1927.9</v>
      </c>
      <c r="Q887" s="873"/>
      <c r="R887" s="873"/>
      <c r="S887" s="840"/>
      <c r="T887" s="853"/>
    </row>
    <row r="888" spans="1:20" s="610" customFormat="1" ht="25.5">
      <c r="A888" s="915"/>
      <c r="B888" s="919"/>
      <c r="C888" s="913" t="s">
        <v>2455</v>
      </c>
      <c r="D888" s="49" t="s">
        <v>151</v>
      </c>
      <c r="E888" s="57" t="s">
        <v>1263</v>
      </c>
      <c r="F888" s="50"/>
      <c r="G888" s="12" t="s">
        <v>1264</v>
      </c>
      <c r="H888" s="18" t="s">
        <v>183</v>
      </c>
      <c r="I888" s="36">
        <v>4</v>
      </c>
      <c r="J888" s="9">
        <v>550</v>
      </c>
      <c r="K888" s="9">
        <f>J888*$S$3</f>
        <v>720.5</v>
      </c>
      <c r="L888" s="9">
        <v>16.8</v>
      </c>
      <c r="M888" s="9">
        <f t="shared" si="58"/>
        <v>841.54</v>
      </c>
      <c r="N888" s="376">
        <v>0</v>
      </c>
      <c r="O888" s="789">
        <f t="shared" si="61"/>
        <v>4</v>
      </c>
      <c r="P888" s="863">
        <f t="shared" si="59"/>
        <v>3366.16</v>
      </c>
      <c r="Q888" s="873"/>
      <c r="R888" s="873"/>
      <c r="S888" s="840"/>
      <c r="T888" s="853"/>
    </row>
    <row r="889" spans="1:20" s="318" customFormat="1">
      <c r="A889" s="915"/>
      <c r="B889" s="919"/>
      <c r="C889" s="913"/>
      <c r="D889" s="49" t="s">
        <v>19</v>
      </c>
      <c r="E889" s="57"/>
      <c r="F889" s="50"/>
      <c r="G889" s="12" t="s">
        <v>441</v>
      </c>
      <c r="H889" s="47"/>
      <c r="I889" s="48"/>
      <c r="J889" s="9"/>
      <c r="K889" s="9"/>
      <c r="L889" s="9"/>
      <c r="M889" s="9"/>
      <c r="N889" s="376"/>
      <c r="O889" s="789"/>
      <c r="P889" s="863"/>
      <c r="Q889" s="874"/>
      <c r="R889" s="874"/>
      <c r="S889" s="841"/>
      <c r="T889" s="854"/>
    </row>
    <row r="890" spans="1:20" s="344" customFormat="1" ht="25.5">
      <c r="A890" s="915"/>
      <c r="B890" s="919"/>
      <c r="C890" s="913"/>
      <c r="D890" s="49" t="s">
        <v>147</v>
      </c>
      <c r="E890" s="805">
        <f>'[3]Plan Tron'!B359</f>
        <v>2609</v>
      </c>
      <c r="F890" s="805" t="str">
        <f>'[3]Plan Tron'!C359</f>
        <v>SINAPI (INSUMO)</v>
      </c>
      <c r="G890" s="643" t="str">
        <f>'[3]Plan Tron'!D359</f>
        <v>CURVA 45 GRAUS, PARA ELETRODUTO, EM ACO GALVANIZADO ELETROLITICO, DIAMETRO DE 20 MM (3/4")</v>
      </c>
      <c r="H890" s="805" t="str">
        <f>'[3]Plan Tron'!E359</f>
        <v>UN</v>
      </c>
      <c r="I890" s="27">
        <v>2</v>
      </c>
      <c r="J890" s="9">
        <v>2.37</v>
      </c>
      <c r="K890" s="9">
        <f>'[3]Plan Tron'!F359</f>
        <v>2.4700000000000002</v>
      </c>
      <c r="L890" s="9">
        <v>16.8</v>
      </c>
      <c r="M890" s="9">
        <f t="shared" si="58"/>
        <v>2.88</v>
      </c>
      <c r="N890" s="376">
        <v>0</v>
      </c>
      <c r="O890" s="789">
        <f t="shared" si="61"/>
        <v>2</v>
      </c>
      <c r="P890" s="863">
        <f t="shared" si="59"/>
        <v>5.76</v>
      </c>
      <c r="Q890" s="874"/>
      <c r="R890" s="874"/>
      <c r="S890" s="841"/>
      <c r="T890" s="854"/>
    </row>
    <row r="891" spans="1:20" s="344" customFormat="1" ht="25.5">
      <c r="A891" s="915"/>
      <c r="B891" s="919"/>
      <c r="C891" s="913"/>
      <c r="D891" s="49" t="s">
        <v>213</v>
      </c>
      <c r="E891" s="805">
        <f>'[3]Plan Tron'!B360</f>
        <v>2634</v>
      </c>
      <c r="F891" s="805" t="str">
        <f>'[3]Plan Tron'!C360</f>
        <v>SINAPI (INSUMO)</v>
      </c>
      <c r="G891" s="643" t="str">
        <f>'[3]Plan Tron'!D360</f>
        <v>CURVA 45 GRAUS, PARA ELETRODUTO, EM ACO GALVANIZADO ELETROLITICO, DIAMETRO DE 25 MM (1")</v>
      </c>
      <c r="H891" s="805" t="str">
        <f>'[3]Plan Tron'!E360</f>
        <v>UN</v>
      </c>
      <c r="I891" s="27">
        <v>2</v>
      </c>
      <c r="J891" s="9">
        <v>3.22</v>
      </c>
      <c r="K891" s="9">
        <f>'[3]Plan Tron'!F360</f>
        <v>3.24</v>
      </c>
      <c r="L891" s="9">
        <v>16.8</v>
      </c>
      <c r="M891" s="9">
        <f t="shared" si="58"/>
        <v>3.78</v>
      </c>
      <c r="N891" s="376">
        <v>0</v>
      </c>
      <c r="O891" s="789">
        <f t="shared" si="61"/>
        <v>2</v>
      </c>
      <c r="P891" s="863">
        <f t="shared" si="59"/>
        <v>7.56</v>
      </c>
      <c r="Q891" s="874"/>
      <c r="R891" s="874"/>
      <c r="S891" s="841"/>
      <c r="T891" s="854"/>
    </row>
    <row r="892" spans="1:20" s="344" customFormat="1" ht="25.5">
      <c r="A892" s="915"/>
      <c r="B892" s="919"/>
      <c r="C892" s="913"/>
      <c r="D892" s="49" t="s">
        <v>212</v>
      </c>
      <c r="E892" s="805">
        <f>'[3]Plan Tron'!B361</f>
        <v>2633</v>
      </c>
      <c r="F892" s="805" t="str">
        <f>'[3]Plan Tron'!C361</f>
        <v>SINAPI (INSUMO)</v>
      </c>
      <c r="G892" s="643" t="str">
        <f>'[3]Plan Tron'!D361</f>
        <v>CURVA 90 GRAUS, PARA ELETRODUTO, EM ACO GALVANIZADO ELETROLITICO, DIAMETRO DE 20 MM (3/4")</v>
      </c>
      <c r="H892" s="805" t="str">
        <f>'[3]Plan Tron'!E361</f>
        <v>UN</v>
      </c>
      <c r="I892" s="27">
        <v>3</v>
      </c>
      <c r="J892" s="9">
        <v>2.37</v>
      </c>
      <c r="K892" s="9">
        <f>'[3]Plan Tron'!F361</f>
        <v>2.5</v>
      </c>
      <c r="L892" s="9">
        <v>16.8</v>
      </c>
      <c r="M892" s="9">
        <f t="shared" si="58"/>
        <v>2.92</v>
      </c>
      <c r="N892" s="376">
        <v>0</v>
      </c>
      <c r="O892" s="789">
        <f t="shared" si="61"/>
        <v>3</v>
      </c>
      <c r="P892" s="863">
        <f t="shared" si="59"/>
        <v>8.76</v>
      </c>
      <c r="Q892" s="874"/>
      <c r="R892" s="874"/>
      <c r="S892" s="841"/>
      <c r="T892" s="854"/>
    </row>
    <row r="893" spans="1:20" s="344" customFormat="1" ht="25.5">
      <c r="A893" s="915"/>
      <c r="B893" s="919"/>
      <c r="C893" s="913"/>
      <c r="D893" s="49" t="s">
        <v>211</v>
      </c>
      <c r="E893" s="805">
        <f>'[3]Plan Tron'!B362</f>
        <v>2617</v>
      </c>
      <c r="F893" s="805" t="str">
        <f>'[3]Plan Tron'!C362</f>
        <v>SINAPI (INSUMO)</v>
      </c>
      <c r="G893" s="643" t="str">
        <f>'[3]Plan Tron'!D362</f>
        <v>CURVA 90 GRAUS, PARA ELETRODUTO, EM ACO GALVANIZADO ELETROLITICO, DIAMETRO DE 25 MM (1")</v>
      </c>
      <c r="H893" s="805" t="str">
        <f>'[3]Plan Tron'!E362</f>
        <v>UN</v>
      </c>
      <c r="I893" s="27">
        <v>3</v>
      </c>
      <c r="J893" s="9">
        <v>3.22</v>
      </c>
      <c r="K893" s="9">
        <f>'[3]Plan Tron'!F362</f>
        <v>3.4</v>
      </c>
      <c r="L893" s="9">
        <v>16.8</v>
      </c>
      <c r="M893" s="9">
        <f t="shared" si="58"/>
        <v>3.97</v>
      </c>
      <c r="N893" s="376">
        <v>0</v>
      </c>
      <c r="O893" s="789">
        <f t="shared" si="61"/>
        <v>3</v>
      </c>
      <c r="P893" s="863">
        <f t="shared" si="59"/>
        <v>11.91</v>
      </c>
      <c r="Q893" s="874"/>
      <c r="R893" s="874"/>
      <c r="S893" s="841"/>
      <c r="T893" s="854"/>
    </row>
    <row r="894" spans="1:20" s="344" customFormat="1" ht="25.5">
      <c r="A894" s="915"/>
      <c r="B894" s="919"/>
      <c r="C894" s="913"/>
      <c r="D894" s="49" t="s">
        <v>208</v>
      </c>
      <c r="E894" s="805">
        <f>'[3]Plan Tron'!B363</f>
        <v>2637</v>
      </c>
      <c r="F894" s="805" t="str">
        <f>'[3]Plan Tron'!C363</f>
        <v>SINAPI (INSUMO)</v>
      </c>
      <c r="G894" s="643" t="str">
        <f>'[3]Plan Tron'!D363</f>
        <v xml:space="preserve">LUVA PARA ELETRODUTO, EM ACO GALVANIZADO ELETROLITICO, DIAMETRO DE 20 MM (3/4") </v>
      </c>
      <c r="H894" s="805" t="str">
        <f>'[3]Plan Tron'!E363</f>
        <v>UN</v>
      </c>
      <c r="I894" s="27">
        <v>20</v>
      </c>
      <c r="J894" s="9">
        <v>0.89</v>
      </c>
      <c r="K894" s="9">
        <f>'[3]Plan Tron'!F363</f>
        <v>0.94</v>
      </c>
      <c r="L894" s="9">
        <v>16.8</v>
      </c>
      <c r="M894" s="9">
        <f t="shared" si="58"/>
        <v>1.1000000000000001</v>
      </c>
      <c r="N894" s="376">
        <v>0</v>
      </c>
      <c r="O894" s="789">
        <f t="shared" si="61"/>
        <v>20</v>
      </c>
      <c r="P894" s="863">
        <f t="shared" si="59"/>
        <v>22</v>
      </c>
      <c r="Q894" s="874"/>
      <c r="R894" s="874"/>
      <c r="S894" s="841"/>
      <c r="T894" s="854"/>
    </row>
    <row r="895" spans="1:20" s="344" customFormat="1" ht="25.5">
      <c r="A895" s="915"/>
      <c r="B895" s="919"/>
      <c r="C895" s="913"/>
      <c r="D895" s="49" t="s">
        <v>205</v>
      </c>
      <c r="E895" s="805">
        <f>'[3]Plan Tron'!B364</f>
        <v>2638</v>
      </c>
      <c r="F895" s="805" t="str">
        <f>'[3]Plan Tron'!C364</f>
        <v>SINAPI (INSUMO)</v>
      </c>
      <c r="G895" s="643" t="str">
        <f>'[3]Plan Tron'!D364</f>
        <v xml:space="preserve">LUVA PARA ELETRODUTO, EM ACO GALVANIZADO ELETROLITICO, DIAMETRO DE 25 MM (1") </v>
      </c>
      <c r="H895" s="805" t="str">
        <f>'[3]Plan Tron'!E364</f>
        <v>UN</v>
      </c>
      <c r="I895" s="27">
        <v>20</v>
      </c>
      <c r="J895" s="9">
        <v>1.03</v>
      </c>
      <c r="K895" s="9">
        <f>'[3]Plan Tron'!F364</f>
        <v>1.1000000000000001</v>
      </c>
      <c r="L895" s="9">
        <v>16.8</v>
      </c>
      <c r="M895" s="9">
        <f t="shared" si="58"/>
        <v>1.28</v>
      </c>
      <c r="N895" s="376">
        <v>0</v>
      </c>
      <c r="O895" s="789">
        <f t="shared" si="61"/>
        <v>20</v>
      </c>
      <c r="P895" s="863">
        <f t="shared" si="59"/>
        <v>25.6</v>
      </c>
      <c r="Q895" s="874"/>
      <c r="R895" s="874"/>
      <c r="S895" s="841"/>
      <c r="T895" s="854"/>
    </row>
    <row r="896" spans="1:20" s="800" customFormat="1" ht="25.5">
      <c r="A896" s="915"/>
      <c r="B896" s="919"/>
      <c r="C896" s="913"/>
      <c r="D896" s="49" t="s">
        <v>204</v>
      </c>
      <c r="E896" s="57">
        <v>4360</v>
      </c>
      <c r="F896" s="805" t="s">
        <v>2017</v>
      </c>
      <c r="G896" s="12" t="s">
        <v>1262</v>
      </c>
      <c r="H896" s="7" t="s">
        <v>158</v>
      </c>
      <c r="I896" s="27">
        <v>25</v>
      </c>
      <c r="J896" s="9">
        <v>1.1399999999999999</v>
      </c>
      <c r="K896" s="9">
        <f>J896*$S$3</f>
        <v>1.4933999999999998</v>
      </c>
      <c r="L896" s="9">
        <v>16.8</v>
      </c>
      <c r="M896" s="9">
        <f t="shared" si="58"/>
        <v>1.74</v>
      </c>
      <c r="N896" s="376">
        <v>0</v>
      </c>
      <c r="O896" s="789">
        <f t="shared" si="61"/>
        <v>25</v>
      </c>
      <c r="P896" s="863">
        <f t="shared" si="59"/>
        <v>43.5</v>
      </c>
      <c r="Q896" s="875"/>
      <c r="R896" s="875"/>
      <c r="S896" s="844"/>
      <c r="T896" s="857"/>
    </row>
    <row r="897" spans="1:20" s="800" customFormat="1" ht="25.5">
      <c r="A897" s="915"/>
      <c r="B897" s="919"/>
      <c r="C897" s="913"/>
      <c r="D897" s="49" t="s">
        <v>203</v>
      </c>
      <c r="E897" s="57">
        <v>4362</v>
      </c>
      <c r="F897" s="805" t="s">
        <v>2017</v>
      </c>
      <c r="G897" s="12" t="s">
        <v>1261</v>
      </c>
      <c r="H897" s="7" t="s">
        <v>158</v>
      </c>
      <c r="I897" s="27">
        <v>25</v>
      </c>
      <c r="J897" s="9">
        <v>1.31</v>
      </c>
      <c r="K897" s="9">
        <f>J897*$S$3</f>
        <v>1.7161000000000002</v>
      </c>
      <c r="L897" s="9">
        <v>16.8</v>
      </c>
      <c r="M897" s="9">
        <f t="shared" si="58"/>
        <v>2</v>
      </c>
      <c r="N897" s="376">
        <v>0</v>
      </c>
      <c r="O897" s="789">
        <f t="shared" si="61"/>
        <v>25</v>
      </c>
      <c r="P897" s="863">
        <f t="shared" si="59"/>
        <v>50</v>
      </c>
      <c r="Q897" s="875"/>
      <c r="R897" s="875"/>
      <c r="S897" s="844"/>
      <c r="T897" s="857"/>
    </row>
    <row r="898" spans="1:20" s="344" customFormat="1" ht="25.5">
      <c r="A898" s="915"/>
      <c r="B898" s="919"/>
      <c r="C898" s="913"/>
      <c r="D898" s="49" t="s">
        <v>297</v>
      </c>
      <c r="E898" s="805">
        <f>'[3]Plan Tron'!B365</f>
        <v>2570</v>
      </c>
      <c r="F898" s="805" t="str">
        <f>'[3]Plan Tron'!C365</f>
        <v>SINAPI (INSUMO)</v>
      </c>
      <c r="G898" s="643" t="str">
        <f>'[3]Plan Tron'!D365</f>
        <v xml:space="preserve">CONDULETE DE ALUMINIO TIPO LR, PARA ELETRODUTO ROSCAVEL DE 1", COM TAMPA CEGA </v>
      </c>
      <c r="H898" s="805" t="str">
        <f>'[3]Plan Tron'!E365</f>
        <v>UN</v>
      </c>
      <c r="I898" s="27">
        <v>1</v>
      </c>
      <c r="J898" s="9">
        <v>7.64</v>
      </c>
      <c r="K898" s="9">
        <f>'[3]Plan Tron'!F365</f>
        <v>9.4600000000000009</v>
      </c>
      <c r="L898" s="9">
        <v>16.8</v>
      </c>
      <c r="M898" s="9">
        <f t="shared" si="58"/>
        <v>11.05</v>
      </c>
      <c r="N898" s="376">
        <v>0</v>
      </c>
      <c r="O898" s="789">
        <f t="shared" si="61"/>
        <v>1</v>
      </c>
      <c r="P898" s="863">
        <f t="shared" si="59"/>
        <v>11.05</v>
      </c>
      <c r="Q898" s="874"/>
      <c r="R898" s="874"/>
      <c r="S898" s="841"/>
      <c r="T898" s="854"/>
    </row>
    <row r="899" spans="1:20" s="610" customFormat="1">
      <c r="A899" s="915"/>
      <c r="B899" s="919"/>
      <c r="C899" s="913" t="s">
        <v>2455</v>
      </c>
      <c r="D899" s="49" t="s">
        <v>296</v>
      </c>
      <c r="E899" s="805" t="s">
        <v>1100</v>
      </c>
      <c r="F899" s="195"/>
      <c r="G899" s="12" t="s">
        <v>1172</v>
      </c>
      <c r="H899" s="7" t="s">
        <v>1260</v>
      </c>
      <c r="I899" s="27">
        <v>9</v>
      </c>
      <c r="J899" s="9">
        <v>38.85</v>
      </c>
      <c r="K899" s="9">
        <f>J899*$S$3</f>
        <v>50.893500000000003</v>
      </c>
      <c r="L899" s="9">
        <v>16.8</v>
      </c>
      <c r="M899" s="9">
        <f t="shared" si="58"/>
        <v>59.44</v>
      </c>
      <c r="N899" s="376">
        <v>0</v>
      </c>
      <c r="O899" s="789">
        <f t="shared" si="61"/>
        <v>9</v>
      </c>
      <c r="P899" s="863">
        <f t="shared" si="59"/>
        <v>534.96</v>
      </c>
      <c r="Q899" s="873"/>
      <c r="R899" s="873"/>
      <c r="S899" s="840"/>
      <c r="T899" s="853"/>
    </row>
    <row r="900" spans="1:20" s="318" customFormat="1">
      <c r="A900" s="915"/>
      <c r="B900" s="919"/>
      <c r="C900" s="913"/>
      <c r="D900" s="49" t="s">
        <v>18</v>
      </c>
      <c r="E900" s="57"/>
      <c r="F900" s="50"/>
      <c r="G900" s="12" t="s">
        <v>1259</v>
      </c>
      <c r="H900" s="47"/>
      <c r="I900" s="48"/>
      <c r="J900" s="9"/>
      <c r="K900" s="9"/>
      <c r="L900" s="9"/>
      <c r="M900" s="9"/>
      <c r="N900" s="376"/>
      <c r="O900" s="789"/>
      <c r="P900" s="863"/>
      <c r="Q900" s="874"/>
      <c r="R900" s="874"/>
      <c r="S900" s="841"/>
      <c r="T900" s="854"/>
    </row>
    <row r="901" spans="1:20" s="610" customFormat="1" ht="25.5">
      <c r="A901" s="915"/>
      <c r="B901" s="919"/>
      <c r="C901" s="913" t="s">
        <v>2455</v>
      </c>
      <c r="D901" s="49" t="s">
        <v>201</v>
      </c>
      <c r="E901" s="805" t="s">
        <v>1257</v>
      </c>
      <c r="F901" s="195"/>
      <c r="G901" s="12" t="s">
        <v>1258</v>
      </c>
      <c r="H901" s="7" t="s">
        <v>246</v>
      </c>
      <c r="I901" s="27">
        <v>1</v>
      </c>
      <c r="J901" s="9">
        <v>85</v>
      </c>
      <c r="K901" s="9">
        <f>J901*$S$3</f>
        <v>111.35000000000001</v>
      </c>
      <c r="L901" s="9">
        <v>16.8</v>
      </c>
      <c r="M901" s="9">
        <f t="shared" si="58"/>
        <v>130.06</v>
      </c>
      <c r="N901" s="376">
        <v>0</v>
      </c>
      <c r="O901" s="789">
        <f t="shared" si="61"/>
        <v>1</v>
      </c>
      <c r="P901" s="863">
        <f t="shared" si="59"/>
        <v>130.06</v>
      </c>
      <c r="Q901" s="873"/>
      <c r="R901" s="873"/>
      <c r="S901" s="840"/>
      <c r="T901" s="853"/>
    </row>
    <row r="902" spans="1:20" s="610" customFormat="1">
      <c r="A902" s="915"/>
      <c r="B902" s="919"/>
      <c r="C902" s="913" t="s">
        <v>2455</v>
      </c>
      <c r="D902" s="49" t="s">
        <v>198</v>
      </c>
      <c r="E902" s="805" t="s">
        <v>1255</v>
      </c>
      <c r="F902" s="195"/>
      <c r="G902" s="12" t="s">
        <v>1256</v>
      </c>
      <c r="H902" s="7" t="s">
        <v>246</v>
      </c>
      <c r="I902" s="27">
        <v>1</v>
      </c>
      <c r="J902" s="9">
        <v>45</v>
      </c>
      <c r="K902" s="9">
        <f>J902*$S$3</f>
        <v>58.95</v>
      </c>
      <c r="L902" s="9">
        <v>16.8</v>
      </c>
      <c r="M902" s="9">
        <f t="shared" si="58"/>
        <v>68.849999999999994</v>
      </c>
      <c r="N902" s="376">
        <v>0</v>
      </c>
      <c r="O902" s="789">
        <f t="shared" si="61"/>
        <v>1</v>
      </c>
      <c r="P902" s="863">
        <f t="shared" si="59"/>
        <v>68.849999999999994</v>
      </c>
      <c r="Q902" s="873"/>
      <c r="R902" s="873"/>
      <c r="S902" s="840"/>
      <c r="T902" s="853"/>
    </row>
    <row r="903" spans="1:20" s="318" customFormat="1">
      <c r="A903" s="915"/>
      <c r="B903" s="919"/>
      <c r="C903" s="913"/>
      <c r="D903" s="49"/>
      <c r="E903" s="805"/>
      <c r="F903" s="195"/>
      <c r="G903" s="12"/>
      <c r="H903" s="7"/>
      <c r="I903" s="27"/>
      <c r="J903" s="9"/>
      <c r="K903" s="9"/>
      <c r="L903" s="9"/>
      <c r="M903" s="9"/>
      <c r="N903" s="376"/>
      <c r="O903" s="789"/>
      <c r="P903" s="863"/>
      <c r="Q903" s="874"/>
      <c r="R903" s="874"/>
      <c r="S903" s="841"/>
      <c r="T903" s="854"/>
    </row>
    <row r="904" spans="1:20" s="318" customFormat="1">
      <c r="A904" s="915"/>
      <c r="B904" s="919"/>
      <c r="C904" s="913"/>
      <c r="D904" s="49"/>
      <c r="E904" s="805"/>
      <c r="F904" s="195"/>
      <c r="G904" s="12"/>
      <c r="H904" s="7"/>
      <c r="I904" s="27"/>
      <c r="J904" s="9"/>
      <c r="K904" s="9"/>
      <c r="L904" s="9"/>
      <c r="M904" s="9"/>
      <c r="N904" s="376"/>
      <c r="O904" s="789"/>
      <c r="P904" s="863"/>
      <c r="Q904" s="874"/>
      <c r="R904" s="874"/>
      <c r="S904" s="841"/>
      <c r="T904" s="854"/>
    </row>
    <row r="905" spans="1:20" s="318" customFormat="1">
      <c r="A905" s="915"/>
      <c r="B905" s="919"/>
      <c r="C905" s="913"/>
      <c r="D905" s="49" t="s">
        <v>17</v>
      </c>
      <c r="E905" s="57"/>
      <c r="F905" s="50"/>
      <c r="G905" s="12" t="s">
        <v>1065</v>
      </c>
      <c r="H905" s="7"/>
      <c r="I905" s="27"/>
      <c r="J905" s="9"/>
      <c r="K905" s="9"/>
      <c r="L905" s="9"/>
      <c r="M905" s="9"/>
      <c r="N905" s="376"/>
      <c r="O905" s="789"/>
      <c r="P905" s="863"/>
      <c r="Q905" s="874"/>
      <c r="R905" s="874"/>
      <c r="S905" s="841"/>
      <c r="T905" s="854"/>
    </row>
    <row r="906" spans="1:20" s="610" customFormat="1">
      <c r="A906" s="915"/>
      <c r="B906" s="919"/>
      <c r="C906" s="913" t="s">
        <v>2455</v>
      </c>
      <c r="D906" s="49" t="s">
        <v>195</v>
      </c>
      <c r="E906" s="57" t="s">
        <v>1063</v>
      </c>
      <c r="F906" s="50"/>
      <c r="G906" s="12" t="s">
        <v>1064</v>
      </c>
      <c r="H906" s="7" t="s">
        <v>110</v>
      </c>
      <c r="I906" s="27">
        <v>10</v>
      </c>
      <c r="J906" s="9">
        <v>6.2</v>
      </c>
      <c r="K906" s="9">
        <f t="shared" ref="K906:K914" si="62">J906*$S$3</f>
        <v>8.1219999999999999</v>
      </c>
      <c r="L906" s="9">
        <v>16.8</v>
      </c>
      <c r="M906" s="9">
        <f t="shared" si="58"/>
        <v>9.49</v>
      </c>
      <c r="N906" s="376">
        <v>0</v>
      </c>
      <c r="O906" s="789">
        <f t="shared" si="61"/>
        <v>10</v>
      </c>
      <c r="P906" s="863">
        <f t="shared" si="59"/>
        <v>94.9</v>
      </c>
      <c r="Q906" s="873"/>
      <c r="R906" s="873"/>
      <c r="S906" s="840"/>
      <c r="T906" s="853"/>
    </row>
    <row r="907" spans="1:20" s="610" customFormat="1">
      <c r="A907" s="915"/>
      <c r="B907" s="919"/>
      <c r="C907" s="913" t="s">
        <v>2455</v>
      </c>
      <c r="D907" s="49" t="s">
        <v>192</v>
      </c>
      <c r="E907" s="805" t="s">
        <v>1253</v>
      </c>
      <c r="F907" s="195"/>
      <c r="G907" s="12" t="s">
        <v>1254</v>
      </c>
      <c r="H907" s="7" t="s">
        <v>158</v>
      </c>
      <c r="I907" s="27">
        <v>1</v>
      </c>
      <c r="J907" s="9">
        <v>23.74</v>
      </c>
      <c r="K907" s="9">
        <f t="shared" si="62"/>
        <v>31.099399999999999</v>
      </c>
      <c r="L907" s="9">
        <v>16.8</v>
      </c>
      <c r="M907" s="9">
        <f t="shared" si="58"/>
        <v>36.32</v>
      </c>
      <c r="N907" s="376">
        <v>0</v>
      </c>
      <c r="O907" s="789">
        <f t="shared" si="61"/>
        <v>1</v>
      </c>
      <c r="P907" s="863">
        <f t="shared" si="59"/>
        <v>36.32</v>
      </c>
      <c r="Q907" s="873"/>
      <c r="R907" s="873"/>
      <c r="S907" s="840"/>
      <c r="T907" s="853"/>
    </row>
    <row r="908" spans="1:20" s="610" customFormat="1" ht="25.5">
      <c r="A908" s="915"/>
      <c r="B908" s="919"/>
      <c r="C908" s="913" t="s">
        <v>2455</v>
      </c>
      <c r="D908" s="49" t="s">
        <v>280</v>
      </c>
      <c r="E908" s="57" t="s">
        <v>1251</v>
      </c>
      <c r="F908" s="50"/>
      <c r="G908" s="12" t="s">
        <v>1252</v>
      </c>
      <c r="H908" s="18" t="s">
        <v>158</v>
      </c>
      <c r="I908" s="36">
        <v>1</v>
      </c>
      <c r="J908" s="9">
        <v>94.07</v>
      </c>
      <c r="K908" s="9">
        <f t="shared" si="62"/>
        <v>123.23169999999999</v>
      </c>
      <c r="L908" s="9">
        <v>16.8</v>
      </c>
      <c r="M908" s="9">
        <f t="shared" si="58"/>
        <v>143.93</v>
      </c>
      <c r="N908" s="376">
        <v>0</v>
      </c>
      <c r="O908" s="789">
        <f t="shared" si="61"/>
        <v>1</v>
      </c>
      <c r="P908" s="863">
        <f t="shared" si="59"/>
        <v>143.93</v>
      </c>
      <c r="Q908" s="873"/>
      <c r="R908" s="873"/>
      <c r="S908" s="840"/>
      <c r="T908" s="853"/>
    </row>
    <row r="909" spans="1:20" s="610" customFormat="1">
      <c r="A909" s="915"/>
      <c r="B909" s="919"/>
      <c r="C909" s="913" t="s">
        <v>2455</v>
      </c>
      <c r="D909" s="49" t="s">
        <v>277</v>
      </c>
      <c r="E909" s="805" t="s">
        <v>1249</v>
      </c>
      <c r="F909" s="195"/>
      <c r="G909" s="12" t="s">
        <v>1250</v>
      </c>
      <c r="H909" s="18" t="s">
        <v>158</v>
      </c>
      <c r="I909" s="36">
        <v>1</v>
      </c>
      <c r="J909" s="9">
        <v>43.9</v>
      </c>
      <c r="K909" s="9">
        <f t="shared" si="62"/>
        <v>57.509</v>
      </c>
      <c r="L909" s="9">
        <v>16.8</v>
      </c>
      <c r="M909" s="9">
        <f t="shared" si="58"/>
        <v>67.17</v>
      </c>
      <c r="N909" s="376">
        <v>0</v>
      </c>
      <c r="O909" s="789">
        <f t="shared" si="61"/>
        <v>1</v>
      </c>
      <c r="P909" s="863">
        <f t="shared" si="59"/>
        <v>67.17</v>
      </c>
      <c r="Q909" s="873"/>
      <c r="R909" s="873"/>
      <c r="S909" s="840"/>
      <c r="T909" s="853"/>
    </row>
    <row r="910" spans="1:20" s="610" customFormat="1">
      <c r="A910" s="915"/>
      <c r="B910" s="919"/>
      <c r="C910" s="913" t="s">
        <v>2455</v>
      </c>
      <c r="D910" s="49" t="s">
        <v>275</v>
      </c>
      <c r="E910" s="805" t="s">
        <v>1247</v>
      </c>
      <c r="F910" s="195"/>
      <c r="G910" s="12" t="s">
        <v>1248</v>
      </c>
      <c r="H910" s="18" t="s">
        <v>183</v>
      </c>
      <c r="I910" s="36">
        <v>1</v>
      </c>
      <c r="J910" s="9">
        <v>85.33</v>
      </c>
      <c r="K910" s="9">
        <f t="shared" si="62"/>
        <v>111.78230000000001</v>
      </c>
      <c r="L910" s="9">
        <v>16.8</v>
      </c>
      <c r="M910" s="9">
        <f t="shared" si="58"/>
        <v>130.56</v>
      </c>
      <c r="N910" s="376">
        <v>0</v>
      </c>
      <c r="O910" s="789">
        <f t="shared" si="61"/>
        <v>1</v>
      </c>
      <c r="P910" s="863">
        <f t="shared" si="59"/>
        <v>130.56</v>
      </c>
      <c r="Q910" s="873"/>
      <c r="R910" s="873"/>
      <c r="S910" s="840"/>
      <c r="T910" s="853"/>
    </row>
    <row r="911" spans="1:20" s="610" customFormat="1">
      <c r="A911" s="915"/>
      <c r="B911" s="919"/>
      <c r="C911" s="913" t="s">
        <v>2455</v>
      </c>
      <c r="D911" s="49" t="s">
        <v>274</v>
      </c>
      <c r="E911" s="805" t="s">
        <v>1245</v>
      </c>
      <c r="F911" s="195"/>
      <c r="G911" s="12" t="s">
        <v>1246</v>
      </c>
      <c r="H911" s="18" t="s">
        <v>158</v>
      </c>
      <c r="I911" s="36">
        <v>10</v>
      </c>
      <c r="J911" s="9">
        <v>2.68</v>
      </c>
      <c r="K911" s="9">
        <f t="shared" si="62"/>
        <v>3.5108000000000001</v>
      </c>
      <c r="L911" s="9">
        <v>16.8</v>
      </c>
      <c r="M911" s="9">
        <f t="shared" si="58"/>
        <v>4.0999999999999996</v>
      </c>
      <c r="N911" s="376">
        <v>0</v>
      </c>
      <c r="O911" s="789">
        <f t="shared" si="61"/>
        <v>10</v>
      </c>
      <c r="P911" s="863">
        <f t="shared" si="59"/>
        <v>41</v>
      </c>
      <c r="Q911" s="873"/>
      <c r="R911" s="873"/>
      <c r="S911" s="840"/>
      <c r="T911" s="853"/>
    </row>
    <row r="912" spans="1:20" s="610" customFormat="1">
      <c r="A912" s="915"/>
      <c r="B912" s="919"/>
      <c r="C912" s="913" t="s">
        <v>2455</v>
      </c>
      <c r="D912" s="49" t="s">
        <v>272</v>
      </c>
      <c r="E912" s="805" t="s">
        <v>268</v>
      </c>
      <c r="F912" s="195"/>
      <c r="G912" s="12" t="s">
        <v>1062</v>
      </c>
      <c r="H912" s="7" t="s">
        <v>158</v>
      </c>
      <c r="I912" s="27">
        <v>2</v>
      </c>
      <c r="J912" s="9">
        <v>29.48</v>
      </c>
      <c r="K912" s="9">
        <f t="shared" si="62"/>
        <v>38.6188</v>
      </c>
      <c r="L912" s="9">
        <v>16.8</v>
      </c>
      <c r="M912" s="9">
        <f t="shared" si="58"/>
        <v>45.11</v>
      </c>
      <c r="N912" s="376">
        <v>0</v>
      </c>
      <c r="O912" s="789">
        <f t="shared" si="61"/>
        <v>2</v>
      </c>
      <c r="P912" s="863">
        <f t="shared" si="59"/>
        <v>90.22</v>
      </c>
      <c r="Q912" s="873"/>
      <c r="R912" s="873"/>
      <c r="S912" s="840"/>
      <c r="T912" s="853"/>
    </row>
    <row r="913" spans="1:20" s="610" customFormat="1" ht="25.5">
      <c r="A913" s="915"/>
      <c r="B913" s="919"/>
      <c r="C913" s="913" t="s">
        <v>2455</v>
      </c>
      <c r="D913" s="49" t="s">
        <v>271</v>
      </c>
      <c r="E913" s="57" t="s">
        <v>193</v>
      </c>
      <c r="F913" s="50"/>
      <c r="G913" s="12" t="s">
        <v>1244</v>
      </c>
      <c r="H913" s="7" t="s">
        <v>158</v>
      </c>
      <c r="I913" s="27">
        <v>1</v>
      </c>
      <c r="J913" s="9">
        <v>180</v>
      </c>
      <c r="K913" s="9">
        <f t="shared" si="62"/>
        <v>235.8</v>
      </c>
      <c r="L913" s="9">
        <v>16.8</v>
      </c>
      <c r="M913" s="9">
        <f t="shared" ref="M913:M976" si="63">ROUND(K913*(L913/100+1),2)</f>
        <v>275.41000000000003</v>
      </c>
      <c r="N913" s="376">
        <v>0</v>
      </c>
      <c r="O913" s="789">
        <f t="shared" si="61"/>
        <v>1</v>
      </c>
      <c r="P913" s="863">
        <f t="shared" ref="P913:P976" si="64">ROUND(O913*M913,2)</f>
        <v>275.41000000000003</v>
      </c>
      <c r="Q913" s="873"/>
      <c r="R913" s="873"/>
      <c r="S913" s="840"/>
      <c r="T913" s="853"/>
    </row>
    <row r="914" spans="1:20" s="610" customFormat="1">
      <c r="A914" s="915"/>
      <c r="B914" s="919"/>
      <c r="C914" s="913" t="s">
        <v>2455</v>
      </c>
      <c r="D914" s="49" t="s">
        <v>896</v>
      </c>
      <c r="E914" s="805" t="s">
        <v>190</v>
      </c>
      <c r="F914" s="195"/>
      <c r="G914" s="12" t="s">
        <v>191</v>
      </c>
      <c r="H914" s="18" t="s">
        <v>158</v>
      </c>
      <c r="I914" s="36">
        <v>10</v>
      </c>
      <c r="J914" s="9">
        <v>17.5</v>
      </c>
      <c r="K914" s="9">
        <f t="shared" si="62"/>
        <v>22.925000000000001</v>
      </c>
      <c r="L914" s="9">
        <v>16.8</v>
      </c>
      <c r="M914" s="9">
        <f t="shared" si="63"/>
        <v>26.78</v>
      </c>
      <c r="N914" s="376">
        <v>0</v>
      </c>
      <c r="O914" s="789">
        <f t="shared" si="61"/>
        <v>10</v>
      </c>
      <c r="P914" s="863">
        <f t="shared" si="64"/>
        <v>267.8</v>
      </c>
      <c r="Q914" s="873"/>
      <c r="R914" s="873"/>
      <c r="S914" s="840"/>
      <c r="T914" s="853"/>
    </row>
    <row r="915" spans="1:20" s="308" customFormat="1">
      <c r="A915" s="915"/>
      <c r="B915" s="919"/>
      <c r="C915" s="913"/>
      <c r="D915" s="49" t="s">
        <v>16</v>
      </c>
      <c r="E915" s="805"/>
      <c r="F915" s="195"/>
      <c r="G915" s="12" t="s">
        <v>770</v>
      </c>
      <c r="H915" s="18"/>
      <c r="I915" s="36"/>
      <c r="J915" s="9"/>
      <c r="K915" s="9"/>
      <c r="L915" s="9"/>
      <c r="M915" s="9"/>
      <c r="N915" s="376"/>
      <c r="O915" s="789"/>
      <c r="P915" s="863"/>
      <c r="Q915" s="874"/>
      <c r="R915" s="874"/>
      <c r="S915" s="841"/>
      <c r="T915" s="854"/>
    </row>
    <row r="916" spans="1:20" s="610" customFormat="1" ht="25.5">
      <c r="A916" s="915"/>
      <c r="B916" s="919"/>
      <c r="C916" s="913" t="s">
        <v>2455</v>
      </c>
      <c r="D916" s="49" t="s">
        <v>270</v>
      </c>
      <c r="E916" s="805" t="s">
        <v>768</v>
      </c>
      <c r="F916" s="195"/>
      <c r="G916" s="12" t="s">
        <v>1243</v>
      </c>
      <c r="H916" s="18" t="s">
        <v>326</v>
      </c>
      <c r="I916" s="36">
        <v>1</v>
      </c>
      <c r="J916" s="9">
        <v>423.43</v>
      </c>
      <c r="K916" s="9">
        <f>J916*$S$3</f>
        <v>554.69330000000002</v>
      </c>
      <c r="L916" s="9">
        <v>16.8</v>
      </c>
      <c r="M916" s="9">
        <f t="shared" si="63"/>
        <v>647.88</v>
      </c>
      <c r="N916" s="376">
        <v>0</v>
      </c>
      <c r="O916" s="789">
        <f t="shared" si="61"/>
        <v>1</v>
      </c>
      <c r="P916" s="863">
        <f t="shared" si="64"/>
        <v>647.88</v>
      </c>
      <c r="Q916" s="873"/>
      <c r="R916" s="873"/>
      <c r="S916" s="840"/>
      <c r="T916" s="853"/>
    </row>
    <row r="917" spans="1:20">
      <c r="D917" s="49"/>
      <c r="E917" s="57"/>
      <c r="F917" s="57"/>
      <c r="G917" s="12"/>
      <c r="H917" s="7"/>
      <c r="I917" s="27"/>
      <c r="J917" s="9"/>
      <c r="K917" s="9"/>
      <c r="L917" s="9"/>
      <c r="M917" s="9"/>
      <c r="N917" s="375"/>
      <c r="O917" s="789"/>
      <c r="P917" s="863"/>
      <c r="Q917" s="874"/>
      <c r="R917" s="874"/>
      <c r="S917" s="841"/>
      <c r="T917" s="854"/>
    </row>
    <row r="918" spans="1:20">
      <c r="D918" s="49"/>
      <c r="E918" s="57"/>
      <c r="F918" s="57"/>
      <c r="G918" s="56"/>
      <c r="H918" s="18"/>
      <c r="I918" s="36"/>
      <c r="J918" s="20"/>
      <c r="K918" s="20"/>
      <c r="L918" s="20"/>
      <c r="M918" s="9"/>
      <c r="N918" s="380"/>
      <c r="O918" s="789"/>
      <c r="P918" s="863"/>
      <c r="Q918" s="874"/>
      <c r="R918" s="874"/>
      <c r="S918" s="841"/>
      <c r="T918" s="854"/>
    </row>
    <row r="919" spans="1:20" s="299" customFormat="1">
      <c r="A919" s="918"/>
      <c r="B919" s="922"/>
      <c r="C919" s="924"/>
      <c r="D919" s="338"/>
      <c r="E919" s="340"/>
      <c r="F919" s="338"/>
      <c r="G919" s="340" t="s">
        <v>70</v>
      </c>
      <c r="H919" s="338" t="str">
        <f>D881</f>
        <v>23.2</v>
      </c>
      <c r="I919" s="338"/>
      <c r="J919" s="338"/>
      <c r="K919" s="338"/>
      <c r="L919" s="338"/>
      <c r="M919" s="9"/>
      <c r="N919" s="381"/>
      <c r="O919" s="789"/>
      <c r="P919" s="863">
        <f>SUM(P887:P916)</f>
        <v>8009.260000000002</v>
      </c>
      <c r="Q919" s="874"/>
      <c r="R919" s="874"/>
      <c r="S919" s="841"/>
      <c r="T919" s="854"/>
    </row>
    <row r="920" spans="1:20">
      <c r="D920" s="44"/>
      <c r="E920" s="296"/>
      <c r="F920" s="44"/>
      <c r="G920" s="44"/>
      <c r="H920" s="44"/>
      <c r="I920" s="44"/>
      <c r="J920" s="302"/>
      <c r="K920" s="302"/>
      <c r="L920" s="44"/>
      <c r="M920" s="9"/>
      <c r="N920" s="375"/>
      <c r="O920" s="789"/>
      <c r="P920" s="863"/>
      <c r="Q920" s="874"/>
      <c r="R920" s="874"/>
      <c r="S920" s="841"/>
      <c r="T920" s="854"/>
    </row>
    <row r="921" spans="1:20">
      <c r="D921" s="108">
        <v>25</v>
      </c>
      <c r="E921" s="813"/>
      <c r="F921" s="109"/>
      <c r="G921" s="108" t="s">
        <v>1977</v>
      </c>
      <c r="H921" s="109"/>
      <c r="I921" s="109"/>
      <c r="J921" s="109"/>
      <c r="K921" s="109"/>
      <c r="L921" s="109"/>
      <c r="M921" s="791"/>
      <c r="N921" s="378"/>
      <c r="O921" s="792"/>
      <c r="P921" s="864"/>
      <c r="Q921" s="872"/>
      <c r="R921" s="872"/>
      <c r="S921" s="842"/>
      <c r="T921" s="852"/>
    </row>
    <row r="922" spans="1:20">
      <c r="D922" s="108" t="s">
        <v>37</v>
      </c>
      <c r="E922" s="813"/>
      <c r="F922" s="109"/>
      <c r="G922" s="108" t="s">
        <v>1971</v>
      </c>
      <c r="H922" s="109"/>
      <c r="I922" s="109"/>
      <c r="J922" s="109"/>
      <c r="K922" s="109"/>
      <c r="L922" s="109"/>
      <c r="M922" s="791"/>
      <c r="N922" s="378"/>
      <c r="O922" s="792"/>
      <c r="P922" s="864"/>
      <c r="Q922" s="872"/>
      <c r="R922" s="872"/>
      <c r="S922" s="842"/>
      <c r="T922" s="852"/>
    </row>
    <row r="923" spans="1:20">
      <c r="D923" s="44"/>
      <c r="E923" s="296"/>
      <c r="F923" s="44"/>
      <c r="G923" s="44"/>
      <c r="H923" s="44"/>
      <c r="I923" s="44"/>
      <c r="J923" s="302"/>
      <c r="K923" s="302"/>
      <c r="L923" s="44"/>
      <c r="M923" s="9"/>
      <c r="N923" s="375"/>
      <c r="O923" s="789"/>
      <c r="P923" s="863"/>
      <c r="Q923" s="874"/>
      <c r="R923" s="874"/>
      <c r="S923" s="841"/>
      <c r="T923" s="854"/>
    </row>
    <row r="924" spans="1:20">
      <c r="D924" s="945">
        <v>1</v>
      </c>
      <c r="E924" s="361"/>
      <c r="F924" s="361"/>
      <c r="G924" s="46" t="s">
        <v>1357</v>
      </c>
      <c r="H924" s="154"/>
      <c r="I924" s="175"/>
      <c r="J924" s="172"/>
      <c r="K924" s="172"/>
      <c r="L924" s="172"/>
      <c r="M924" s="9"/>
      <c r="N924" s="375"/>
      <c r="O924" s="789"/>
      <c r="P924" s="863"/>
      <c r="Q924" s="874"/>
      <c r="R924" s="874"/>
      <c r="S924" s="841"/>
      <c r="T924" s="854"/>
    </row>
    <row r="925" spans="1:20">
      <c r="D925" s="155" t="s">
        <v>20</v>
      </c>
      <c r="E925" s="361"/>
      <c r="F925" s="361"/>
      <c r="G925" s="12" t="s">
        <v>766</v>
      </c>
      <c r="H925" s="154"/>
      <c r="I925" s="175"/>
      <c r="J925" s="172"/>
      <c r="K925" s="172"/>
      <c r="L925" s="172"/>
      <c r="M925" s="9"/>
      <c r="N925" s="375"/>
      <c r="O925" s="789"/>
      <c r="P925" s="863"/>
      <c r="Q925" s="874"/>
      <c r="R925" s="874"/>
      <c r="S925" s="841"/>
      <c r="T925" s="854"/>
    </row>
    <row r="926" spans="1:20" s="610" customFormat="1" ht="51">
      <c r="A926" s="915"/>
      <c r="B926" s="919" t="s">
        <v>2457</v>
      </c>
      <c r="C926" s="913"/>
      <c r="D926" s="49" t="s">
        <v>153</v>
      </c>
      <c r="E926" s="1059" t="s">
        <v>1355</v>
      </c>
      <c r="F926" s="946"/>
      <c r="G926" s="179" t="s">
        <v>1356</v>
      </c>
      <c r="H926" s="265" t="s">
        <v>326</v>
      </c>
      <c r="I926" s="172">
        <v>1</v>
      </c>
      <c r="J926" s="148">
        <v>26800</v>
      </c>
      <c r="K926" s="9">
        <f>J926*$S$3</f>
        <v>35108</v>
      </c>
      <c r="L926" s="148">
        <v>16.8</v>
      </c>
      <c r="M926" s="9">
        <f t="shared" si="63"/>
        <v>41006.14</v>
      </c>
      <c r="N926" s="376">
        <v>0</v>
      </c>
      <c r="O926" s="789">
        <f t="shared" si="61"/>
        <v>1</v>
      </c>
      <c r="P926" s="1063">
        <f t="shared" si="64"/>
        <v>41006.14</v>
      </c>
      <c r="Q926" s="873"/>
      <c r="R926" s="873"/>
      <c r="S926" s="840"/>
      <c r="T926" s="853"/>
    </row>
    <row r="927" spans="1:20" s="610" customFormat="1">
      <c r="A927" s="915"/>
      <c r="B927" s="919" t="s">
        <v>2457</v>
      </c>
      <c r="C927" s="913"/>
      <c r="D927" s="49" t="s">
        <v>152</v>
      </c>
      <c r="E927" s="1059"/>
      <c r="F927" s="946"/>
      <c r="G927" s="179" t="s">
        <v>1354</v>
      </c>
      <c r="H927" s="265" t="s">
        <v>110</v>
      </c>
      <c r="I927" s="172">
        <v>0.4</v>
      </c>
      <c r="J927" s="148" t="s">
        <v>1147</v>
      </c>
      <c r="K927" s="9"/>
      <c r="L927" s="148"/>
      <c r="M927" s="9">
        <f t="shared" si="63"/>
        <v>0</v>
      </c>
      <c r="N927" s="375"/>
      <c r="O927" s="789">
        <f t="shared" si="61"/>
        <v>0.4</v>
      </c>
      <c r="P927" s="1064"/>
      <c r="Q927" s="873"/>
      <c r="R927" s="873"/>
      <c r="S927" s="840"/>
      <c r="T927" s="853"/>
    </row>
    <row r="928" spans="1:20" s="610" customFormat="1">
      <c r="A928" s="915"/>
      <c r="B928" s="919" t="s">
        <v>2457</v>
      </c>
      <c r="C928" s="913"/>
      <c r="D928" s="49" t="s">
        <v>320</v>
      </c>
      <c r="E928" s="1059"/>
      <c r="F928" s="946"/>
      <c r="G928" s="179" t="s">
        <v>1353</v>
      </c>
      <c r="H928" s="265" t="s">
        <v>246</v>
      </c>
      <c r="I928" s="172">
        <v>1</v>
      </c>
      <c r="J928" s="148" t="s">
        <v>1147</v>
      </c>
      <c r="K928" s="9"/>
      <c r="L928" s="148"/>
      <c r="M928" s="9">
        <f t="shared" si="63"/>
        <v>0</v>
      </c>
      <c r="N928" s="375"/>
      <c r="O928" s="789">
        <f t="shared" si="61"/>
        <v>1</v>
      </c>
      <c r="P928" s="1064"/>
      <c r="Q928" s="873"/>
      <c r="R928" s="873"/>
      <c r="S928" s="840"/>
      <c r="T928" s="853"/>
    </row>
    <row r="929" spans="1:20" s="610" customFormat="1">
      <c r="A929" s="915"/>
      <c r="B929" s="919" t="s">
        <v>2457</v>
      </c>
      <c r="C929" s="913"/>
      <c r="D929" s="49" t="s">
        <v>1139</v>
      </c>
      <c r="E929" s="1059"/>
      <c r="F929" s="946"/>
      <c r="G929" s="179" t="s">
        <v>1352</v>
      </c>
      <c r="H929" s="265" t="s">
        <v>246</v>
      </c>
      <c r="I929" s="172">
        <v>2</v>
      </c>
      <c r="J929" s="148" t="s">
        <v>1147</v>
      </c>
      <c r="K929" s="9"/>
      <c r="L929" s="148"/>
      <c r="M929" s="9">
        <f t="shared" si="63"/>
        <v>0</v>
      </c>
      <c r="N929" s="375"/>
      <c r="O929" s="789">
        <f t="shared" si="61"/>
        <v>2</v>
      </c>
      <c r="P929" s="1064"/>
      <c r="Q929" s="873"/>
      <c r="R929" s="873"/>
      <c r="S929" s="840"/>
      <c r="T929" s="853"/>
    </row>
    <row r="930" spans="1:20" s="610" customFormat="1">
      <c r="A930" s="915"/>
      <c r="B930" s="919" t="s">
        <v>2457</v>
      </c>
      <c r="C930" s="913"/>
      <c r="D930" s="49" t="s">
        <v>1138</v>
      </c>
      <c r="E930" s="1059"/>
      <c r="F930" s="946"/>
      <c r="G930" s="179" t="s">
        <v>1351</v>
      </c>
      <c r="H930" s="265" t="s">
        <v>246</v>
      </c>
      <c r="I930" s="172">
        <v>2</v>
      </c>
      <c r="J930" s="148" t="s">
        <v>1147</v>
      </c>
      <c r="K930" s="9"/>
      <c r="L930" s="148"/>
      <c r="M930" s="9">
        <f t="shared" si="63"/>
        <v>0</v>
      </c>
      <c r="N930" s="375"/>
      <c r="O930" s="789">
        <f t="shared" si="61"/>
        <v>2</v>
      </c>
      <c r="P930" s="1064"/>
      <c r="Q930" s="873"/>
      <c r="R930" s="873"/>
      <c r="S930" s="840"/>
      <c r="T930" s="853"/>
    </row>
    <row r="931" spans="1:20" s="610" customFormat="1">
      <c r="A931" s="915"/>
      <c r="B931" s="919" t="s">
        <v>2457</v>
      </c>
      <c r="C931" s="913"/>
      <c r="D931" s="49" t="s">
        <v>1293</v>
      </c>
      <c r="E931" s="1059"/>
      <c r="F931" s="946"/>
      <c r="G931" s="179" t="s">
        <v>1350</v>
      </c>
      <c r="H931" s="265" t="s">
        <v>326</v>
      </c>
      <c r="I931" s="172">
        <v>2</v>
      </c>
      <c r="J931" s="148" t="s">
        <v>1147</v>
      </c>
      <c r="K931" s="9"/>
      <c r="L931" s="148"/>
      <c r="M931" s="9">
        <f t="shared" si="63"/>
        <v>0</v>
      </c>
      <c r="N931" s="375"/>
      <c r="O931" s="789">
        <f t="shared" ref="O931:O984" si="65">I931-N931</f>
        <v>2</v>
      </c>
      <c r="P931" s="1065"/>
      <c r="Q931" s="873"/>
      <c r="R931" s="873"/>
      <c r="S931" s="840"/>
      <c r="T931" s="853"/>
    </row>
    <row r="932" spans="1:20" s="610" customFormat="1" ht="25.5">
      <c r="A932" s="915"/>
      <c r="B932" s="919" t="s">
        <v>2457</v>
      </c>
      <c r="C932" s="913"/>
      <c r="D932" s="49" t="s">
        <v>151</v>
      </c>
      <c r="E932" s="828" t="s">
        <v>1348</v>
      </c>
      <c r="F932" s="148"/>
      <c r="G932" s="179" t="s">
        <v>1349</v>
      </c>
      <c r="H932" s="265" t="s">
        <v>246</v>
      </c>
      <c r="I932" s="172">
        <v>1</v>
      </c>
      <c r="J932" s="148">
        <v>2155.7600000000002</v>
      </c>
      <c r="K932" s="9">
        <f>J932*$S$3</f>
        <v>2824.0456000000004</v>
      </c>
      <c r="L932" s="148">
        <v>16.8</v>
      </c>
      <c r="M932" s="9">
        <f t="shared" si="63"/>
        <v>3298.49</v>
      </c>
      <c r="N932" s="376">
        <v>0</v>
      </c>
      <c r="O932" s="789">
        <f t="shared" si="65"/>
        <v>1</v>
      </c>
      <c r="P932" s="863">
        <f t="shared" si="64"/>
        <v>3298.49</v>
      </c>
      <c r="Q932" s="873"/>
      <c r="R932" s="873"/>
      <c r="S932" s="840"/>
      <c r="T932" s="853"/>
    </row>
    <row r="933" spans="1:20" s="344" customFormat="1" ht="25.5">
      <c r="A933" s="915"/>
      <c r="B933" s="919"/>
      <c r="C933" s="913"/>
      <c r="D933" s="49" t="s">
        <v>149</v>
      </c>
      <c r="E933" s="805">
        <f>'[3]Plan Tron'!B366</f>
        <v>10743</v>
      </c>
      <c r="F933" s="805" t="str">
        <f>'[3]Plan Tron'!C366</f>
        <v>SINAPI (INSUMO)</v>
      </c>
      <c r="G933" s="643" t="str">
        <f>'[3]Plan Tron'!D366</f>
        <v xml:space="preserve">TROLEY MANUAL CAPACIDADE 1 T </v>
      </c>
      <c r="H933" s="805" t="str">
        <f>'[3]Plan Tron'!E366</f>
        <v>UN</v>
      </c>
      <c r="I933" s="172">
        <v>1</v>
      </c>
      <c r="J933" s="148">
        <v>532.9</v>
      </c>
      <c r="K933" s="148">
        <f>'[3]Plan Tron'!F366</f>
        <v>446.99</v>
      </c>
      <c r="L933" s="148">
        <v>16.8</v>
      </c>
      <c r="M933" s="9">
        <f t="shared" si="63"/>
        <v>522.08000000000004</v>
      </c>
      <c r="N933" s="376">
        <v>0</v>
      </c>
      <c r="O933" s="789">
        <f t="shared" si="65"/>
        <v>1</v>
      </c>
      <c r="P933" s="863">
        <f t="shared" si="64"/>
        <v>522.08000000000004</v>
      </c>
      <c r="Q933" s="874"/>
      <c r="R933" s="874"/>
      <c r="S933" s="841"/>
      <c r="T933" s="854"/>
    </row>
    <row r="934" spans="1:20">
      <c r="D934" s="155" t="s">
        <v>19</v>
      </c>
      <c r="E934" s="828"/>
      <c r="F934" s="148"/>
      <c r="G934" s="12" t="s">
        <v>1347</v>
      </c>
      <c r="H934" s="154"/>
      <c r="I934" s="175"/>
      <c r="J934" s="172"/>
      <c r="K934" s="172"/>
      <c r="L934" s="148"/>
      <c r="M934" s="9"/>
      <c r="N934" s="375"/>
      <c r="O934" s="789"/>
      <c r="P934" s="863"/>
      <c r="Q934" s="874"/>
      <c r="R934" s="874"/>
      <c r="S934" s="841"/>
      <c r="T934" s="854"/>
    </row>
    <row r="935" spans="1:20" s="610" customFormat="1">
      <c r="A935" s="915" t="s">
        <v>2456</v>
      </c>
      <c r="B935" s="919"/>
      <c r="C935" s="913"/>
      <c r="D935" s="49" t="s">
        <v>147</v>
      </c>
      <c r="E935" s="828" t="s">
        <v>1899</v>
      </c>
      <c r="F935" s="148"/>
      <c r="G935" s="179" t="s">
        <v>1346</v>
      </c>
      <c r="H935" s="265" t="s">
        <v>246</v>
      </c>
      <c r="I935" s="172">
        <v>1</v>
      </c>
      <c r="J935" s="148">
        <v>9800</v>
      </c>
      <c r="K935" s="9">
        <f>J935*$S$3</f>
        <v>12838</v>
      </c>
      <c r="L935" s="148">
        <v>16.8</v>
      </c>
      <c r="M935" s="9">
        <f t="shared" si="63"/>
        <v>14994.78</v>
      </c>
      <c r="N935" s="376">
        <v>0</v>
      </c>
      <c r="O935" s="789">
        <f t="shared" si="65"/>
        <v>1</v>
      </c>
      <c r="P935" s="863">
        <f t="shared" si="64"/>
        <v>14994.78</v>
      </c>
      <c r="Q935" s="873"/>
      <c r="R935" s="873"/>
      <c r="S935" s="840"/>
      <c r="T935" s="853"/>
    </row>
    <row r="936" spans="1:20">
      <c r="D936" s="155" t="s">
        <v>18</v>
      </c>
      <c r="E936" s="361"/>
      <c r="F936" s="153"/>
      <c r="G936" s="12" t="s">
        <v>1345</v>
      </c>
      <c r="H936" s="154"/>
      <c r="I936" s="175"/>
      <c r="J936" s="172"/>
      <c r="K936" s="172"/>
      <c r="L936" s="148"/>
      <c r="M936" s="9"/>
      <c r="N936" s="375"/>
      <c r="O936" s="789"/>
      <c r="P936" s="863"/>
      <c r="Q936" s="874"/>
      <c r="R936" s="874"/>
      <c r="S936" s="841"/>
      <c r="T936" s="854"/>
    </row>
    <row r="937" spans="1:20" s="610" customFormat="1" ht="25.5">
      <c r="A937" s="915"/>
      <c r="B937" s="919" t="s">
        <v>2457</v>
      </c>
      <c r="C937" s="913"/>
      <c r="D937" s="49" t="s">
        <v>201</v>
      </c>
      <c r="E937" s="828" t="s">
        <v>1900</v>
      </c>
      <c r="F937" s="148"/>
      <c r="G937" s="179" t="s">
        <v>1344</v>
      </c>
      <c r="H937" s="265" t="s">
        <v>246</v>
      </c>
      <c r="I937" s="172">
        <v>2</v>
      </c>
      <c r="J937" s="148">
        <v>300</v>
      </c>
      <c r="K937" s="9">
        <f t="shared" ref="K937:K944" si="66">J937*$S$3</f>
        <v>393</v>
      </c>
      <c r="L937" s="148">
        <v>16.8</v>
      </c>
      <c r="M937" s="9">
        <f t="shared" si="63"/>
        <v>459.02</v>
      </c>
      <c r="N937" s="376">
        <v>0</v>
      </c>
      <c r="O937" s="789">
        <f t="shared" si="65"/>
        <v>2</v>
      </c>
      <c r="P937" s="863">
        <f t="shared" si="64"/>
        <v>918.04</v>
      </c>
      <c r="Q937" s="873"/>
      <c r="R937" s="873"/>
      <c r="S937" s="840"/>
      <c r="T937" s="853"/>
    </row>
    <row r="938" spans="1:20" s="610" customFormat="1" ht="25.5">
      <c r="A938" s="915"/>
      <c r="B938" s="919" t="s">
        <v>2457</v>
      </c>
      <c r="C938" s="913"/>
      <c r="D938" s="49" t="s">
        <v>198</v>
      </c>
      <c r="E938" s="828" t="s">
        <v>1342</v>
      </c>
      <c r="F938" s="148"/>
      <c r="G938" s="179" t="s">
        <v>1343</v>
      </c>
      <c r="H938" s="265" t="s">
        <v>246</v>
      </c>
      <c r="I938" s="172">
        <v>1</v>
      </c>
      <c r="J938" s="148">
        <v>1260</v>
      </c>
      <c r="K938" s="9">
        <f t="shared" si="66"/>
        <v>1650.6000000000001</v>
      </c>
      <c r="L938" s="148">
        <v>16.8</v>
      </c>
      <c r="M938" s="9">
        <f t="shared" si="63"/>
        <v>1927.9</v>
      </c>
      <c r="N938" s="376">
        <v>0</v>
      </c>
      <c r="O938" s="789">
        <f t="shared" si="65"/>
        <v>1</v>
      </c>
      <c r="P938" s="863">
        <f t="shared" si="64"/>
        <v>1927.9</v>
      </c>
      <c r="Q938" s="873"/>
      <c r="R938" s="873"/>
      <c r="S938" s="840"/>
      <c r="T938" s="853"/>
    </row>
    <row r="939" spans="1:20" s="610" customFormat="1" ht="25.5">
      <c r="A939" s="915" t="s">
        <v>2456</v>
      </c>
      <c r="B939" s="919"/>
      <c r="C939" s="913"/>
      <c r="D939" s="49" t="s">
        <v>390</v>
      </c>
      <c r="E939" s="828" t="s">
        <v>1901</v>
      </c>
      <c r="F939" s="148"/>
      <c r="G939" s="179" t="s">
        <v>1341</v>
      </c>
      <c r="H939" s="265" t="s">
        <v>246</v>
      </c>
      <c r="I939" s="172">
        <v>1</v>
      </c>
      <c r="J939" s="148">
        <v>1167.27</v>
      </c>
      <c r="K939" s="9">
        <f t="shared" si="66"/>
        <v>1529.1237000000001</v>
      </c>
      <c r="L939" s="148">
        <v>16.8</v>
      </c>
      <c r="M939" s="9">
        <f t="shared" si="63"/>
        <v>1786.02</v>
      </c>
      <c r="N939" s="376">
        <v>0</v>
      </c>
      <c r="O939" s="789">
        <f t="shared" si="65"/>
        <v>1</v>
      </c>
      <c r="P939" s="863">
        <f t="shared" si="64"/>
        <v>1786.02</v>
      </c>
      <c r="Q939" s="873"/>
      <c r="R939" s="873"/>
      <c r="S939" s="840"/>
      <c r="T939" s="853"/>
    </row>
    <row r="940" spans="1:20" s="610" customFormat="1" ht="25.5">
      <c r="A940" s="915" t="s">
        <v>2456</v>
      </c>
      <c r="B940" s="919"/>
      <c r="C940" s="913"/>
      <c r="D940" s="49" t="s">
        <v>387</v>
      </c>
      <c r="E940" s="828" t="s">
        <v>1902</v>
      </c>
      <c r="F940" s="148"/>
      <c r="G940" s="179" t="s">
        <v>1340</v>
      </c>
      <c r="H940" s="265" t="s">
        <v>246</v>
      </c>
      <c r="I940" s="172">
        <v>1</v>
      </c>
      <c r="J940" s="148">
        <v>4200</v>
      </c>
      <c r="K940" s="9">
        <f t="shared" si="66"/>
        <v>5502</v>
      </c>
      <c r="L940" s="148">
        <v>16.8</v>
      </c>
      <c r="M940" s="9">
        <f t="shared" si="63"/>
        <v>6426.34</v>
      </c>
      <c r="N940" s="376">
        <v>0</v>
      </c>
      <c r="O940" s="789">
        <f t="shared" si="65"/>
        <v>1</v>
      </c>
      <c r="P940" s="863">
        <f t="shared" si="64"/>
        <v>6426.34</v>
      </c>
      <c r="Q940" s="873"/>
      <c r="R940" s="873"/>
      <c r="S940" s="840"/>
      <c r="T940" s="853"/>
    </row>
    <row r="941" spans="1:20" s="610" customFormat="1" ht="25.5">
      <c r="A941" s="915" t="s">
        <v>2456</v>
      </c>
      <c r="B941" s="919"/>
      <c r="C941" s="913"/>
      <c r="D941" s="49" t="s">
        <v>384</v>
      </c>
      <c r="E941" s="828" t="str">
        <f>E940</f>
        <v>COT-H-379</v>
      </c>
      <c r="F941" s="148"/>
      <c r="G941" s="179" t="s">
        <v>1339</v>
      </c>
      <c r="H941" s="265" t="s">
        <v>246</v>
      </c>
      <c r="I941" s="172">
        <v>1</v>
      </c>
      <c r="J941" s="148">
        <v>4200</v>
      </c>
      <c r="K941" s="9">
        <f t="shared" si="66"/>
        <v>5502</v>
      </c>
      <c r="L941" s="148">
        <v>16.8</v>
      </c>
      <c r="M941" s="9">
        <f t="shared" si="63"/>
        <v>6426.34</v>
      </c>
      <c r="N941" s="376">
        <v>0</v>
      </c>
      <c r="O941" s="789">
        <f t="shared" si="65"/>
        <v>1</v>
      </c>
      <c r="P941" s="863">
        <f t="shared" si="64"/>
        <v>6426.34</v>
      </c>
      <c r="Q941" s="873"/>
      <c r="R941" s="873"/>
      <c r="S941" s="840"/>
      <c r="T941" s="853"/>
    </row>
    <row r="942" spans="1:20" s="610" customFormat="1" ht="25.5">
      <c r="A942" s="915"/>
      <c r="B942" s="919" t="s">
        <v>2457</v>
      </c>
      <c r="C942" s="913"/>
      <c r="D942" s="49" t="s">
        <v>381</v>
      </c>
      <c r="E942" s="828" t="s">
        <v>1337</v>
      </c>
      <c r="F942" s="148"/>
      <c r="G942" s="179" t="s">
        <v>1338</v>
      </c>
      <c r="H942" s="265" t="s">
        <v>246</v>
      </c>
      <c r="I942" s="172">
        <v>1</v>
      </c>
      <c r="J942" s="148">
        <v>1247.26</v>
      </c>
      <c r="K942" s="9">
        <f t="shared" si="66"/>
        <v>1633.9106000000002</v>
      </c>
      <c r="L942" s="148">
        <v>16.8</v>
      </c>
      <c r="M942" s="9">
        <f t="shared" si="63"/>
        <v>1908.41</v>
      </c>
      <c r="N942" s="376">
        <v>0</v>
      </c>
      <c r="O942" s="789">
        <f t="shared" si="65"/>
        <v>1</v>
      </c>
      <c r="P942" s="863">
        <f t="shared" si="64"/>
        <v>1908.41</v>
      </c>
      <c r="Q942" s="873"/>
      <c r="R942" s="873"/>
      <c r="S942" s="840"/>
      <c r="T942" s="853"/>
    </row>
    <row r="943" spans="1:20" s="610" customFormat="1" ht="25.5">
      <c r="A943" s="915"/>
      <c r="B943" s="919" t="s">
        <v>2457</v>
      </c>
      <c r="C943" s="913"/>
      <c r="D943" s="49" t="s">
        <v>378</v>
      </c>
      <c r="E943" s="828" t="s">
        <v>1335</v>
      </c>
      <c r="F943" s="148"/>
      <c r="G943" s="179" t="s">
        <v>1336</v>
      </c>
      <c r="H943" s="265" t="s">
        <v>246</v>
      </c>
      <c r="I943" s="172">
        <v>1</v>
      </c>
      <c r="J943" s="148">
        <v>500</v>
      </c>
      <c r="K943" s="9">
        <f t="shared" si="66"/>
        <v>655</v>
      </c>
      <c r="L943" s="148">
        <v>16.8</v>
      </c>
      <c r="M943" s="9">
        <f t="shared" si="63"/>
        <v>765.04</v>
      </c>
      <c r="N943" s="376">
        <v>0</v>
      </c>
      <c r="O943" s="789">
        <f t="shared" si="65"/>
        <v>1</v>
      </c>
      <c r="P943" s="863">
        <f t="shared" si="64"/>
        <v>765.04</v>
      </c>
      <c r="Q943" s="873"/>
      <c r="R943" s="873"/>
      <c r="S943" s="840"/>
      <c r="T943" s="853"/>
    </row>
    <row r="944" spans="1:20" s="610" customFormat="1" ht="25.5">
      <c r="A944" s="915"/>
      <c r="B944" s="919" t="s">
        <v>2457</v>
      </c>
      <c r="C944" s="913"/>
      <c r="D944" s="49" t="s">
        <v>777</v>
      </c>
      <c r="E944" s="828" t="s">
        <v>1903</v>
      </c>
      <c r="F944" s="148"/>
      <c r="G944" s="179" t="s">
        <v>1334</v>
      </c>
      <c r="H944" s="265" t="s">
        <v>246</v>
      </c>
      <c r="I944" s="172">
        <v>1</v>
      </c>
      <c r="J944" s="148">
        <v>300</v>
      </c>
      <c r="K944" s="9">
        <f t="shared" si="66"/>
        <v>393</v>
      </c>
      <c r="L944" s="148">
        <v>16.8</v>
      </c>
      <c r="M944" s="9">
        <f t="shared" si="63"/>
        <v>459.02</v>
      </c>
      <c r="N944" s="376">
        <v>0</v>
      </c>
      <c r="O944" s="789">
        <f t="shared" si="65"/>
        <v>1</v>
      </c>
      <c r="P944" s="863">
        <f t="shared" si="64"/>
        <v>459.02</v>
      </c>
      <c r="Q944" s="873"/>
      <c r="R944" s="873"/>
      <c r="S944" s="840"/>
      <c r="T944" s="853"/>
    </row>
    <row r="945" spans="1:20" s="318" customFormat="1">
      <c r="A945" s="915"/>
      <c r="B945" s="919"/>
      <c r="C945" s="913"/>
      <c r="D945" s="155" t="s">
        <v>17</v>
      </c>
      <c r="E945" s="361"/>
      <c r="F945" s="153"/>
      <c r="G945" s="12" t="s">
        <v>1333</v>
      </c>
      <c r="H945" s="154"/>
      <c r="I945" s="175"/>
      <c r="J945" s="172"/>
      <c r="K945" s="172"/>
      <c r="L945" s="148"/>
      <c r="M945" s="9"/>
      <c r="N945" s="375"/>
      <c r="O945" s="789"/>
      <c r="P945" s="863"/>
      <c r="Q945" s="874"/>
      <c r="R945" s="874"/>
      <c r="S945" s="841"/>
      <c r="T945" s="854"/>
    </row>
    <row r="946" spans="1:20" s="610" customFormat="1" ht="25.5">
      <c r="A946" s="915" t="s">
        <v>2456</v>
      </c>
      <c r="B946" s="919"/>
      <c r="C946" s="913"/>
      <c r="D946" s="49" t="s">
        <v>195</v>
      </c>
      <c r="E946" s="828" t="s">
        <v>1904</v>
      </c>
      <c r="F946" s="148"/>
      <c r="G946" s="179" t="s">
        <v>1332</v>
      </c>
      <c r="H946" s="265" t="s">
        <v>246</v>
      </c>
      <c r="I946" s="172">
        <v>1</v>
      </c>
      <c r="J946" s="148">
        <v>2000</v>
      </c>
      <c r="K946" s="9">
        <f>J946*$S$3</f>
        <v>2620</v>
      </c>
      <c r="L946" s="148">
        <v>16.8</v>
      </c>
      <c r="M946" s="9">
        <f t="shared" si="63"/>
        <v>3060.16</v>
      </c>
      <c r="N946" s="376">
        <v>0</v>
      </c>
      <c r="O946" s="789">
        <f t="shared" si="65"/>
        <v>1</v>
      </c>
      <c r="P946" s="863">
        <f t="shared" si="64"/>
        <v>3060.16</v>
      </c>
      <c r="Q946" s="873"/>
      <c r="R946" s="873"/>
      <c r="S946" s="840"/>
      <c r="T946" s="853"/>
    </row>
    <row r="947" spans="1:20" s="610" customFormat="1" ht="25.5">
      <c r="A947" s="915"/>
      <c r="B947" s="919" t="s">
        <v>2457</v>
      </c>
      <c r="C947" s="913"/>
      <c r="D947" s="49" t="s">
        <v>192</v>
      </c>
      <c r="E947" s="828" t="s">
        <v>1905</v>
      </c>
      <c r="F947" s="148"/>
      <c r="G947" s="179" t="s">
        <v>1331</v>
      </c>
      <c r="H947" s="265" t="s">
        <v>246</v>
      </c>
      <c r="I947" s="172">
        <v>1</v>
      </c>
      <c r="J947" s="148">
        <v>180.44</v>
      </c>
      <c r="K947" s="9">
        <f>J947*$S$3</f>
        <v>236.37640000000002</v>
      </c>
      <c r="L947" s="148">
        <v>16.8</v>
      </c>
      <c r="M947" s="9">
        <f t="shared" si="63"/>
        <v>276.08999999999997</v>
      </c>
      <c r="N947" s="376">
        <v>0</v>
      </c>
      <c r="O947" s="789">
        <f t="shared" si="65"/>
        <v>1</v>
      </c>
      <c r="P947" s="863">
        <f t="shared" si="64"/>
        <v>276.08999999999997</v>
      </c>
      <c r="Q947" s="873"/>
      <c r="R947" s="873"/>
      <c r="S947" s="840"/>
      <c r="T947" s="853"/>
    </row>
    <row r="948" spans="1:20" s="610" customFormat="1">
      <c r="A948" s="915" t="s">
        <v>2456</v>
      </c>
      <c r="B948" s="919"/>
      <c r="C948" s="913"/>
      <c r="D948" s="49" t="s">
        <v>280</v>
      </c>
      <c r="E948" s="828" t="s">
        <v>1329</v>
      </c>
      <c r="F948" s="148"/>
      <c r="G948" s="179" t="s">
        <v>1330</v>
      </c>
      <c r="H948" s="265" t="s">
        <v>246</v>
      </c>
      <c r="I948" s="172">
        <v>1</v>
      </c>
      <c r="J948" s="148">
        <v>1096.23</v>
      </c>
      <c r="K948" s="9">
        <f>J948*$S$3</f>
        <v>1436.0613000000001</v>
      </c>
      <c r="L948" s="148">
        <v>16.8</v>
      </c>
      <c r="M948" s="9">
        <f t="shared" si="63"/>
        <v>1677.32</v>
      </c>
      <c r="N948" s="376">
        <v>0</v>
      </c>
      <c r="O948" s="789">
        <f t="shared" si="65"/>
        <v>1</v>
      </c>
      <c r="P948" s="863">
        <f t="shared" si="64"/>
        <v>1677.32</v>
      </c>
      <c r="Q948" s="873"/>
      <c r="R948" s="873"/>
      <c r="S948" s="840"/>
      <c r="T948" s="853"/>
    </row>
    <row r="949" spans="1:20" s="610" customFormat="1">
      <c r="A949" s="915" t="s">
        <v>2456</v>
      </c>
      <c r="B949" s="919"/>
      <c r="C949" s="913"/>
      <c r="D949" s="49" t="s">
        <v>277</v>
      </c>
      <c r="E949" s="828" t="s">
        <v>614</v>
      </c>
      <c r="F949" s="148"/>
      <c r="G949" s="179" t="s">
        <v>1328</v>
      </c>
      <c r="H949" s="265" t="s">
        <v>246</v>
      </c>
      <c r="I949" s="172">
        <v>3</v>
      </c>
      <c r="J949" s="148">
        <v>4354.18</v>
      </c>
      <c r="K949" s="9">
        <f>J949*$S$3</f>
        <v>5703.9758000000002</v>
      </c>
      <c r="L949" s="148">
        <v>16.8</v>
      </c>
      <c r="M949" s="9">
        <f t="shared" si="63"/>
        <v>6662.24</v>
      </c>
      <c r="N949" s="376">
        <v>0</v>
      </c>
      <c r="O949" s="789">
        <f t="shared" si="65"/>
        <v>3</v>
      </c>
      <c r="P949" s="863">
        <f t="shared" si="64"/>
        <v>19986.72</v>
      </c>
      <c r="Q949" s="873"/>
      <c r="R949" s="873"/>
      <c r="S949" s="840"/>
      <c r="T949" s="853"/>
    </row>
    <row r="950" spans="1:20" s="610" customFormat="1">
      <c r="A950" s="915"/>
      <c r="B950" s="919" t="s">
        <v>2457</v>
      </c>
      <c r="C950" s="913"/>
      <c r="D950" s="49" t="s">
        <v>275</v>
      </c>
      <c r="E950" s="828" t="s">
        <v>1326</v>
      </c>
      <c r="F950" s="148"/>
      <c r="G950" s="179" t="s">
        <v>1327</v>
      </c>
      <c r="H950" s="265" t="s">
        <v>246</v>
      </c>
      <c r="I950" s="172">
        <v>1</v>
      </c>
      <c r="J950" s="148">
        <v>163.44</v>
      </c>
      <c r="K950" s="9">
        <f>J950*$S$3</f>
        <v>214.10640000000001</v>
      </c>
      <c r="L950" s="148">
        <v>16.8</v>
      </c>
      <c r="M950" s="9">
        <f t="shared" si="63"/>
        <v>250.08</v>
      </c>
      <c r="N950" s="376">
        <v>0</v>
      </c>
      <c r="O950" s="789">
        <f t="shared" si="65"/>
        <v>1</v>
      </c>
      <c r="P950" s="863">
        <f t="shared" si="64"/>
        <v>250.08</v>
      </c>
      <c r="Q950" s="873"/>
      <c r="R950" s="873"/>
      <c r="S950" s="840"/>
      <c r="T950" s="853"/>
    </row>
    <row r="951" spans="1:20" s="318" customFormat="1">
      <c r="A951" s="915"/>
      <c r="B951" s="919"/>
      <c r="C951" s="913"/>
      <c r="D951" s="49"/>
      <c r="E951" s="828"/>
      <c r="F951" s="148"/>
      <c r="G951" s="179"/>
      <c r="H951" s="265"/>
      <c r="I951" s="172"/>
      <c r="J951" s="148"/>
      <c r="K951" s="148"/>
      <c r="L951" s="148"/>
      <c r="M951" s="9"/>
      <c r="N951" s="375"/>
      <c r="O951" s="789"/>
      <c r="P951" s="863"/>
      <c r="Q951" s="874"/>
      <c r="R951" s="874"/>
      <c r="S951" s="841"/>
      <c r="T951" s="854"/>
    </row>
    <row r="952" spans="1:20" s="318" customFormat="1">
      <c r="A952" s="915"/>
      <c r="B952" s="919"/>
      <c r="C952" s="913"/>
      <c r="D952" s="49"/>
      <c r="E952" s="828"/>
      <c r="F952" s="148"/>
      <c r="G952" s="179"/>
      <c r="H952" s="265"/>
      <c r="I952" s="172"/>
      <c r="J952" s="148"/>
      <c r="K952" s="148"/>
      <c r="L952" s="148"/>
      <c r="M952" s="9"/>
      <c r="N952" s="375"/>
      <c r="O952" s="789"/>
      <c r="P952" s="863"/>
      <c r="Q952" s="874"/>
      <c r="R952" s="874"/>
      <c r="S952" s="841"/>
      <c r="T952" s="854"/>
    </row>
    <row r="953" spans="1:20" s="610" customFormat="1">
      <c r="A953" s="915"/>
      <c r="B953" s="919" t="s">
        <v>2457</v>
      </c>
      <c r="C953" s="913"/>
      <c r="D953" s="49" t="s">
        <v>274</v>
      </c>
      <c r="E953" s="828" t="s">
        <v>1324</v>
      </c>
      <c r="F953" s="148"/>
      <c r="G953" s="179" t="s">
        <v>1325</v>
      </c>
      <c r="H953" s="265" t="s">
        <v>246</v>
      </c>
      <c r="I953" s="172">
        <v>1</v>
      </c>
      <c r="J953" s="148">
        <v>45.33</v>
      </c>
      <c r="K953" s="9">
        <f>J953*$S$3</f>
        <v>59.382300000000001</v>
      </c>
      <c r="L953" s="148">
        <v>16.8</v>
      </c>
      <c r="M953" s="9">
        <f t="shared" si="63"/>
        <v>69.36</v>
      </c>
      <c r="N953" s="382">
        <v>0</v>
      </c>
      <c r="O953" s="789">
        <f t="shared" si="65"/>
        <v>1</v>
      </c>
      <c r="P953" s="863">
        <f t="shared" si="64"/>
        <v>69.36</v>
      </c>
      <c r="Q953" s="873"/>
      <c r="R953" s="873"/>
      <c r="S953" s="840"/>
      <c r="T953" s="853"/>
    </row>
    <row r="954" spans="1:20" s="610" customFormat="1">
      <c r="A954" s="915"/>
      <c r="B954" s="919" t="s">
        <v>2457</v>
      </c>
      <c r="C954" s="913"/>
      <c r="D954" s="49" t="s">
        <v>272</v>
      </c>
      <c r="E954" s="828" t="s">
        <v>1207</v>
      </c>
      <c r="F954" s="148"/>
      <c r="G954" s="179" t="s">
        <v>1323</v>
      </c>
      <c r="H954" s="265" t="s">
        <v>246</v>
      </c>
      <c r="I954" s="172">
        <v>2</v>
      </c>
      <c r="J954" s="148">
        <v>82.76</v>
      </c>
      <c r="K954" s="9">
        <f>J954*$S$3</f>
        <v>108.41560000000001</v>
      </c>
      <c r="L954" s="148">
        <v>16.8</v>
      </c>
      <c r="M954" s="9">
        <f t="shared" si="63"/>
        <v>126.63</v>
      </c>
      <c r="N954" s="382">
        <v>0</v>
      </c>
      <c r="O954" s="789">
        <f t="shared" si="65"/>
        <v>2</v>
      </c>
      <c r="P954" s="863">
        <f t="shared" si="64"/>
        <v>253.26</v>
      </c>
      <c r="Q954" s="873"/>
      <c r="R954" s="873"/>
      <c r="S954" s="840"/>
      <c r="T954" s="853"/>
    </row>
    <row r="955" spans="1:20" s="610" customFormat="1">
      <c r="A955" s="915"/>
      <c r="B955" s="919" t="s">
        <v>2457</v>
      </c>
      <c r="C955" s="913"/>
      <c r="D955" s="49" t="s">
        <v>271</v>
      </c>
      <c r="E955" s="828" t="s">
        <v>1906</v>
      </c>
      <c r="F955" s="148"/>
      <c r="G955" s="179" t="s">
        <v>1322</v>
      </c>
      <c r="H955" s="265" t="s">
        <v>246</v>
      </c>
      <c r="I955" s="172">
        <v>1</v>
      </c>
      <c r="J955" s="148">
        <v>142.72999999999999</v>
      </c>
      <c r="K955" s="9">
        <f>J955*$S$3</f>
        <v>186.97629999999998</v>
      </c>
      <c r="L955" s="148">
        <v>16.8</v>
      </c>
      <c r="M955" s="9">
        <f t="shared" si="63"/>
        <v>218.39</v>
      </c>
      <c r="N955" s="382">
        <v>0</v>
      </c>
      <c r="O955" s="789">
        <f t="shared" si="65"/>
        <v>1</v>
      </c>
      <c r="P955" s="863">
        <f t="shared" si="64"/>
        <v>218.39</v>
      </c>
      <c r="Q955" s="873"/>
      <c r="R955" s="873"/>
      <c r="S955" s="840"/>
      <c r="T955" s="853"/>
    </row>
    <row r="956" spans="1:20" s="318" customFormat="1">
      <c r="A956" s="915"/>
      <c r="B956" s="919"/>
      <c r="C956" s="913"/>
      <c r="D956" s="155" t="s">
        <v>14</v>
      </c>
      <c r="E956" s="361"/>
      <c r="F956" s="153"/>
      <c r="G956" s="12" t="s">
        <v>1321</v>
      </c>
      <c r="H956" s="154"/>
      <c r="I956" s="175"/>
      <c r="J956" s="172"/>
      <c r="K956" s="172"/>
      <c r="L956" s="172"/>
      <c r="M956" s="9"/>
      <c r="N956" s="375"/>
      <c r="O956" s="789"/>
      <c r="P956" s="863"/>
      <c r="Q956" s="874"/>
      <c r="R956" s="874"/>
      <c r="S956" s="841"/>
      <c r="T956" s="854"/>
    </row>
    <row r="957" spans="1:20" s="610" customFormat="1" ht="25.5">
      <c r="A957" s="915" t="s">
        <v>2456</v>
      </c>
      <c r="B957" s="919"/>
      <c r="C957" s="913"/>
      <c r="D957" s="49" t="s">
        <v>181</v>
      </c>
      <c r="E957" s="157" t="s">
        <v>1319</v>
      </c>
      <c r="F957" s="362"/>
      <c r="G957" s="179" t="s">
        <v>1320</v>
      </c>
      <c r="H957" s="265" t="s">
        <v>246</v>
      </c>
      <c r="I957" s="172">
        <v>2</v>
      </c>
      <c r="J957" s="148">
        <v>424</v>
      </c>
      <c r="K957" s="9">
        <f>J957*$S$3</f>
        <v>555.44000000000005</v>
      </c>
      <c r="L957" s="148">
        <v>16.8</v>
      </c>
      <c r="M957" s="9">
        <f t="shared" si="63"/>
        <v>648.75</v>
      </c>
      <c r="N957" s="382">
        <v>0</v>
      </c>
      <c r="O957" s="789">
        <f t="shared" si="65"/>
        <v>2</v>
      </c>
      <c r="P957" s="863">
        <f t="shared" si="64"/>
        <v>1297.5</v>
      </c>
      <c r="Q957" s="873"/>
      <c r="R957" s="873"/>
      <c r="S957" s="840"/>
      <c r="T957" s="853"/>
    </row>
    <row r="958" spans="1:20" s="610" customFormat="1" ht="25.5">
      <c r="A958" s="915"/>
      <c r="B958" s="919"/>
      <c r="C958" s="913"/>
      <c r="D958" s="49" t="s">
        <v>180</v>
      </c>
      <c r="E958" s="828" t="s">
        <v>1317</v>
      </c>
      <c r="F958" s="148"/>
      <c r="G958" s="179" t="s">
        <v>1318</v>
      </c>
      <c r="H958" s="265" t="s">
        <v>246</v>
      </c>
      <c r="I958" s="172">
        <v>6</v>
      </c>
      <c r="J958" s="148">
        <v>140.26</v>
      </c>
      <c r="K958" s="9">
        <f>J958*$S$3</f>
        <v>183.7406</v>
      </c>
      <c r="L958" s="148">
        <v>16.8</v>
      </c>
      <c r="M958" s="9">
        <f t="shared" si="63"/>
        <v>214.61</v>
      </c>
      <c r="N958" s="382">
        <v>0</v>
      </c>
      <c r="O958" s="789">
        <f t="shared" si="65"/>
        <v>6</v>
      </c>
      <c r="P958" s="863">
        <f t="shared" si="64"/>
        <v>1287.6600000000001</v>
      </c>
      <c r="Q958" s="873"/>
      <c r="R958" s="873"/>
      <c r="S958" s="840"/>
      <c r="T958" s="853"/>
    </row>
    <row r="959" spans="1:20" s="610" customFormat="1">
      <c r="A959" s="915" t="s">
        <v>2456</v>
      </c>
      <c r="B959" s="919"/>
      <c r="C959" s="913"/>
      <c r="D959" s="49" t="s">
        <v>179</v>
      </c>
      <c r="E959" s="828" t="s">
        <v>1315</v>
      </c>
      <c r="F959" s="148"/>
      <c r="G959" s="179" t="s">
        <v>1316</v>
      </c>
      <c r="H959" s="265" t="s">
        <v>326</v>
      </c>
      <c r="I959" s="172">
        <v>3</v>
      </c>
      <c r="J959" s="148">
        <v>67.42</v>
      </c>
      <c r="K959" s="9">
        <f>J959*$S$3</f>
        <v>88.3202</v>
      </c>
      <c r="L959" s="148">
        <v>16.8</v>
      </c>
      <c r="M959" s="9">
        <f t="shared" si="63"/>
        <v>103.16</v>
      </c>
      <c r="N959" s="382">
        <v>0</v>
      </c>
      <c r="O959" s="789">
        <f t="shared" si="65"/>
        <v>3</v>
      </c>
      <c r="P959" s="863">
        <f t="shared" si="64"/>
        <v>309.48</v>
      </c>
      <c r="Q959" s="873"/>
      <c r="R959" s="873"/>
      <c r="S959" s="840"/>
      <c r="T959" s="853"/>
    </row>
    <row r="960" spans="1:20" s="800" customFormat="1" ht="25.5">
      <c r="A960" s="915"/>
      <c r="B960" s="919"/>
      <c r="C960" s="913"/>
      <c r="D960" s="49" t="s">
        <v>178</v>
      </c>
      <c r="E960" s="946" t="s">
        <v>1313</v>
      </c>
      <c r="F960" s="805" t="s">
        <v>2017</v>
      </c>
      <c r="G960" s="179" t="s">
        <v>1314</v>
      </c>
      <c r="H960" s="265" t="s">
        <v>326</v>
      </c>
      <c r="I960" s="172">
        <v>24</v>
      </c>
      <c r="J960" s="148">
        <v>2.75</v>
      </c>
      <c r="K960" s="9">
        <f>J960*$S$3</f>
        <v>3.6025</v>
      </c>
      <c r="L960" s="148">
        <v>16.8</v>
      </c>
      <c r="M960" s="9">
        <f t="shared" si="63"/>
        <v>4.21</v>
      </c>
      <c r="N960" s="382">
        <v>0</v>
      </c>
      <c r="O960" s="789">
        <f t="shared" si="65"/>
        <v>24</v>
      </c>
      <c r="P960" s="863">
        <f t="shared" si="64"/>
        <v>101.04</v>
      </c>
      <c r="Q960" s="875"/>
      <c r="R960" s="875"/>
      <c r="S960" s="844"/>
      <c r="T960" s="857"/>
    </row>
    <row r="961" spans="1:20" s="610" customFormat="1">
      <c r="A961" s="915"/>
      <c r="B961" s="919"/>
      <c r="C961" s="913"/>
      <c r="D961" s="49" t="s">
        <v>177</v>
      </c>
      <c r="E961" s="828" t="s">
        <v>1311</v>
      </c>
      <c r="F961" s="148"/>
      <c r="G961" s="179" t="s">
        <v>1312</v>
      </c>
      <c r="H961" s="265" t="s">
        <v>326</v>
      </c>
      <c r="I961" s="172">
        <v>2</v>
      </c>
      <c r="J961" s="148">
        <v>153.26999999999998</v>
      </c>
      <c r="K961" s="9">
        <f>J961*$S$3</f>
        <v>200.78369999999998</v>
      </c>
      <c r="L961" s="148">
        <v>16.8</v>
      </c>
      <c r="M961" s="9">
        <f t="shared" si="63"/>
        <v>234.52</v>
      </c>
      <c r="N961" s="382">
        <v>0</v>
      </c>
      <c r="O961" s="789">
        <f t="shared" si="65"/>
        <v>2</v>
      </c>
      <c r="P961" s="863">
        <f t="shared" si="64"/>
        <v>469.04</v>
      </c>
      <c r="Q961" s="873"/>
      <c r="R961" s="873"/>
      <c r="S961" s="840"/>
      <c r="T961" s="853"/>
    </row>
    <row r="962" spans="1:20" s="318" customFormat="1">
      <c r="A962" s="915"/>
      <c r="B962" s="919"/>
      <c r="C962" s="913"/>
      <c r="D962" s="49"/>
      <c r="E962" s="154"/>
      <c r="F962" s="154"/>
      <c r="G962" s="163"/>
      <c r="H962" s="363"/>
      <c r="I962" s="364"/>
      <c r="J962" s="363"/>
      <c r="K962" s="363"/>
      <c r="L962" s="363"/>
      <c r="M962" s="9"/>
      <c r="N962" s="375"/>
      <c r="O962" s="789"/>
      <c r="P962" s="863"/>
      <c r="Q962" s="874"/>
      <c r="R962" s="874"/>
      <c r="S962" s="841"/>
      <c r="T962" s="854"/>
    </row>
    <row r="963" spans="1:20" s="318" customFormat="1">
      <c r="A963" s="915"/>
      <c r="B963" s="919"/>
      <c r="C963" s="913"/>
      <c r="D963" s="155" t="s">
        <v>13</v>
      </c>
      <c r="E963" s="361"/>
      <c r="F963" s="153"/>
      <c r="G963" s="179" t="s">
        <v>1310</v>
      </c>
      <c r="H963" s="154"/>
      <c r="I963" s="175"/>
      <c r="J963" s="148"/>
      <c r="K963" s="148"/>
      <c r="L963" s="148"/>
      <c r="M963" s="9"/>
      <c r="N963" s="375"/>
      <c r="O963" s="789"/>
      <c r="P963" s="863"/>
      <c r="Q963" s="874"/>
      <c r="R963" s="874"/>
      <c r="S963" s="841"/>
      <c r="T963" s="854"/>
    </row>
    <row r="964" spans="1:20" s="344" customFormat="1" ht="25.5">
      <c r="A964" s="915"/>
      <c r="B964" s="919"/>
      <c r="C964" s="913"/>
      <c r="D964" s="49" t="s">
        <v>167</v>
      </c>
      <c r="E964" s="805">
        <f>'[3]Plan Tron'!B367</f>
        <v>9872</v>
      </c>
      <c r="F964" s="805" t="str">
        <f>'[3]Plan Tron'!C367</f>
        <v>SINAPI (INSUMO)</v>
      </c>
      <c r="G964" s="643" t="str">
        <f>'[3]Plan Tron'!D367</f>
        <v xml:space="preserve">TUBO PVC, SOLDAVEL, DN 85 MM, AGUA FRIA (NBR-5648) </v>
      </c>
      <c r="H964" s="805" t="str">
        <f>'[3]Plan Tron'!E367</f>
        <v>M</v>
      </c>
      <c r="I964" s="172">
        <f>0.15*2</f>
        <v>0.3</v>
      </c>
      <c r="J964" s="148">
        <v>35.89</v>
      </c>
      <c r="K964" s="148">
        <f>'[3]Plan Tron'!F367</f>
        <v>28.96</v>
      </c>
      <c r="L964" s="148">
        <v>16.8</v>
      </c>
      <c r="M964" s="9">
        <f t="shared" si="63"/>
        <v>33.83</v>
      </c>
      <c r="N964" s="382">
        <v>0</v>
      </c>
      <c r="O964" s="789">
        <f t="shared" si="65"/>
        <v>0.3</v>
      </c>
      <c r="P964" s="863">
        <f t="shared" si="64"/>
        <v>10.15</v>
      </c>
      <c r="Q964" s="874"/>
      <c r="R964" s="874"/>
      <c r="S964" s="841"/>
      <c r="T964" s="854"/>
    </row>
    <row r="965" spans="1:20" s="344" customFormat="1" ht="25.5">
      <c r="A965" s="915"/>
      <c r="B965" s="919"/>
      <c r="C965" s="913"/>
      <c r="D965" s="49" t="s">
        <v>166</v>
      </c>
      <c r="E965" s="805">
        <f>'[3]Plan Tron'!B368</f>
        <v>3866</v>
      </c>
      <c r="F965" s="805" t="str">
        <f>'[3]Plan Tron'!C368</f>
        <v>SINAPI (INSUMO)</v>
      </c>
      <c r="G965" s="643" t="str">
        <f>'[3]Plan Tron'!D368</f>
        <v xml:space="preserve">LUVA PVC SOLDAVEL, 85 MM, PARA AGUA FRIA PREDIAL </v>
      </c>
      <c r="H965" s="805" t="str">
        <f>'[3]Plan Tron'!E368</f>
        <v>UN</v>
      </c>
      <c r="I965" s="172">
        <v>2</v>
      </c>
      <c r="J965" s="148">
        <v>30.61</v>
      </c>
      <c r="K965" s="148">
        <f>'[3]Plan Tron'!F368</f>
        <v>27.78</v>
      </c>
      <c r="L965" s="148">
        <v>16.8</v>
      </c>
      <c r="M965" s="9">
        <f t="shared" si="63"/>
        <v>32.450000000000003</v>
      </c>
      <c r="N965" s="382">
        <v>0</v>
      </c>
      <c r="O965" s="789">
        <f t="shared" si="65"/>
        <v>2</v>
      </c>
      <c r="P965" s="863">
        <f t="shared" si="64"/>
        <v>64.900000000000006</v>
      </c>
      <c r="Q965" s="874"/>
      <c r="R965" s="874"/>
      <c r="S965" s="841"/>
      <c r="T965" s="854"/>
    </row>
    <row r="966" spans="1:20" s="344" customFormat="1" ht="25.5">
      <c r="A966" s="915"/>
      <c r="B966" s="919"/>
      <c r="C966" s="913"/>
      <c r="D966" s="49" t="s">
        <v>165</v>
      </c>
      <c r="E966" s="805">
        <f>'[3]Plan Tron'!B369</f>
        <v>817</v>
      </c>
      <c r="F966" s="805" t="str">
        <f>'[3]Plan Tron'!C369</f>
        <v>SINAPI (INSUMO)</v>
      </c>
      <c r="G966" s="643" t="str">
        <f>'[3]Plan Tron'!D369</f>
        <v>BUCHA DE REDUCAO DE PVC, SOLDAVEL, LONGA, COM 85 X 60 MM, PARA AGUA FRIA PREDIAL</v>
      </c>
      <c r="H966" s="805" t="str">
        <f>'[3]Plan Tron'!E369</f>
        <v xml:space="preserve">UN </v>
      </c>
      <c r="I966" s="172">
        <v>2</v>
      </c>
      <c r="J966" s="148">
        <v>9.9499999999999993</v>
      </c>
      <c r="K966" s="148">
        <f>'[3]Plan Tron'!F369</f>
        <v>14.34</v>
      </c>
      <c r="L966" s="148">
        <v>16.8</v>
      </c>
      <c r="M966" s="9">
        <f t="shared" si="63"/>
        <v>16.75</v>
      </c>
      <c r="N966" s="382">
        <v>0</v>
      </c>
      <c r="O966" s="789">
        <f t="shared" si="65"/>
        <v>2</v>
      </c>
      <c r="P966" s="863">
        <f t="shared" si="64"/>
        <v>33.5</v>
      </c>
      <c r="Q966" s="874"/>
      <c r="R966" s="874"/>
      <c r="S966" s="841"/>
      <c r="T966" s="854"/>
    </row>
    <row r="967" spans="1:20" s="344" customFormat="1" ht="25.5">
      <c r="A967" s="915"/>
      <c r="B967" s="919"/>
      <c r="C967" s="913"/>
      <c r="D967" s="49" t="s">
        <v>164</v>
      </c>
      <c r="E967" s="805">
        <f>'[3]Plan Tron'!B370</f>
        <v>818</v>
      </c>
      <c r="F967" s="805" t="str">
        <f>'[3]Plan Tron'!C370</f>
        <v>SINAPI (INSUMO)</v>
      </c>
      <c r="G967" s="643" t="str">
        <f>'[3]Plan Tron'!D370</f>
        <v>BUCHA DE REDUCAO DE PVC, SOLDAVEL, CURTA, COM 60 X 50 MM, PARA AGUA FRIA PREDIAL</v>
      </c>
      <c r="H967" s="805" t="str">
        <f>'[3]Plan Tron'!E370</f>
        <v xml:space="preserve">UN </v>
      </c>
      <c r="I967" s="172">
        <v>2</v>
      </c>
      <c r="J967" s="148">
        <v>3.19</v>
      </c>
      <c r="K967" s="148">
        <f>'[3]Plan Tron'!F370</f>
        <v>4.68</v>
      </c>
      <c r="L967" s="148">
        <v>16.8</v>
      </c>
      <c r="M967" s="9">
        <f t="shared" si="63"/>
        <v>5.47</v>
      </c>
      <c r="N967" s="382">
        <v>0</v>
      </c>
      <c r="O967" s="789">
        <f t="shared" si="65"/>
        <v>2</v>
      </c>
      <c r="P967" s="863">
        <f t="shared" si="64"/>
        <v>10.94</v>
      </c>
      <c r="Q967" s="874"/>
      <c r="R967" s="874"/>
      <c r="S967" s="841"/>
      <c r="T967" s="854"/>
    </row>
    <row r="968" spans="1:20" s="344" customFormat="1" ht="25.5">
      <c r="A968" s="915"/>
      <c r="B968" s="919"/>
      <c r="C968" s="913"/>
      <c r="D968" s="49" t="s">
        <v>1309</v>
      </c>
      <c r="E968" s="805">
        <f>'[3]Plan Tron'!B371</f>
        <v>9875</v>
      </c>
      <c r="F968" s="805" t="str">
        <f>'[3]Plan Tron'!C371</f>
        <v>SINAPI (INSUMO)</v>
      </c>
      <c r="G968" s="643" t="str">
        <f>'[3]Plan Tron'!D371</f>
        <v xml:space="preserve">TUBO PVC, SOLDAVEL, DN 50 MM, PARA AGUA FRIA (NBR-5648) </v>
      </c>
      <c r="H968" s="805" t="str">
        <f>'[3]Plan Tron'!E371</f>
        <v>M</v>
      </c>
      <c r="I968" s="172">
        <v>24</v>
      </c>
      <c r="J968" s="148">
        <v>9.36</v>
      </c>
      <c r="K968" s="148">
        <f>'[3]Plan Tron'!F371</f>
        <v>10.51</v>
      </c>
      <c r="L968" s="148">
        <v>16.8</v>
      </c>
      <c r="M968" s="9">
        <f t="shared" si="63"/>
        <v>12.28</v>
      </c>
      <c r="N968" s="382">
        <v>0</v>
      </c>
      <c r="O968" s="789">
        <f t="shared" si="65"/>
        <v>24</v>
      </c>
      <c r="P968" s="863">
        <f t="shared" si="64"/>
        <v>294.72000000000003</v>
      </c>
      <c r="Q968" s="874"/>
      <c r="R968" s="874"/>
      <c r="S968" s="841"/>
      <c r="T968" s="854"/>
    </row>
    <row r="969" spans="1:20" s="344" customFormat="1" ht="25.5">
      <c r="A969" s="915"/>
      <c r="B969" s="919"/>
      <c r="C969" s="913"/>
      <c r="D969" s="49" t="s">
        <v>1308</v>
      </c>
      <c r="E969" s="805">
        <f>'[3]Plan Tron'!B372</f>
        <v>3540</v>
      </c>
      <c r="F969" s="805" t="str">
        <f>'[3]Plan Tron'!C372</f>
        <v>SINAPI (INSUMO)</v>
      </c>
      <c r="G969" s="643" t="str">
        <f>'[3]Plan Tron'!D372</f>
        <v xml:space="preserve">JOELHO PVC, SOLDAVEL, 90 GRAUS, 50 MM, PARA AGUA FRIA PREDIAL </v>
      </c>
      <c r="H969" s="805" t="str">
        <f>'[3]Plan Tron'!E372</f>
        <v xml:space="preserve">UN </v>
      </c>
      <c r="I969" s="172">
        <v>2</v>
      </c>
      <c r="J969" s="148">
        <v>3.5</v>
      </c>
      <c r="K969" s="148">
        <f>'[3]Plan Tron'!F372</f>
        <v>4.63</v>
      </c>
      <c r="L969" s="148">
        <v>16.8</v>
      </c>
      <c r="M969" s="9">
        <f t="shared" si="63"/>
        <v>5.41</v>
      </c>
      <c r="N969" s="382">
        <v>0</v>
      </c>
      <c r="O969" s="789">
        <f t="shared" si="65"/>
        <v>2</v>
      </c>
      <c r="P969" s="863">
        <f t="shared" si="64"/>
        <v>10.82</v>
      </c>
      <c r="Q969" s="874"/>
      <c r="R969" s="874"/>
      <c r="S969" s="841"/>
      <c r="T969" s="854"/>
    </row>
    <row r="970" spans="1:20" s="344" customFormat="1" ht="25.5">
      <c r="A970" s="915"/>
      <c r="B970" s="919"/>
      <c r="C970" s="913"/>
      <c r="D970" s="49" t="s">
        <v>1307</v>
      </c>
      <c r="E970" s="805">
        <f>'[3]Plan Tron'!B373</f>
        <v>7142</v>
      </c>
      <c r="F970" s="805" t="str">
        <f>'[3]Plan Tron'!C373</f>
        <v>SINAPI (INSUMO)</v>
      </c>
      <c r="G970" s="643" t="str">
        <f>'[3]Plan Tron'!D373</f>
        <v xml:space="preserve">TE SOLDAVEL, PVC, 90 GRAUS,50 MM, PARA AGUA FRIA PREDIAL (NBR 5648) </v>
      </c>
      <c r="H970" s="805" t="str">
        <f>'[3]Plan Tron'!E373</f>
        <v xml:space="preserve">UN </v>
      </c>
      <c r="I970" s="172">
        <v>6</v>
      </c>
      <c r="J970" s="148">
        <v>6.28</v>
      </c>
      <c r="K970" s="148">
        <f>'[3]Plan Tron'!F373</f>
        <v>8</v>
      </c>
      <c r="L970" s="148">
        <v>16.8</v>
      </c>
      <c r="M970" s="9">
        <f t="shared" si="63"/>
        <v>9.34</v>
      </c>
      <c r="N970" s="382">
        <v>0</v>
      </c>
      <c r="O970" s="789">
        <f t="shared" si="65"/>
        <v>6</v>
      </c>
      <c r="P970" s="863">
        <f t="shared" si="64"/>
        <v>56.04</v>
      </c>
      <c r="Q970" s="874"/>
      <c r="R970" s="874"/>
      <c r="S970" s="841"/>
      <c r="T970" s="854"/>
    </row>
    <row r="971" spans="1:20" s="344" customFormat="1" ht="25.5">
      <c r="A971" s="915"/>
      <c r="B971" s="919"/>
      <c r="C971" s="913"/>
      <c r="D971" s="49" t="s">
        <v>1306</v>
      </c>
      <c r="E971" s="805">
        <f>'[3]Plan Tron'!B374</f>
        <v>3503</v>
      </c>
      <c r="F971" s="805" t="str">
        <f>'[3]Plan Tron'!C374</f>
        <v>SINAPI (INSUMO)</v>
      </c>
      <c r="G971" s="643" t="str">
        <f>'[3]Plan Tron'!D374</f>
        <v>JOELHO, PVC SOLDAVEL, 45 GRAUS, 50 MM, PARA AGUA FRIA PREDIAL</v>
      </c>
      <c r="H971" s="805" t="str">
        <f>'[3]Plan Tron'!E374</f>
        <v xml:space="preserve">UN </v>
      </c>
      <c r="I971" s="172">
        <v>8</v>
      </c>
      <c r="J971" s="148">
        <v>4.75</v>
      </c>
      <c r="K971" s="148">
        <f>'[3]Plan Tron'!F374</f>
        <v>5.68</v>
      </c>
      <c r="L971" s="148">
        <v>16.8</v>
      </c>
      <c r="M971" s="9">
        <f t="shared" si="63"/>
        <v>6.63</v>
      </c>
      <c r="N971" s="382">
        <v>0</v>
      </c>
      <c r="O971" s="789">
        <f t="shared" si="65"/>
        <v>8</v>
      </c>
      <c r="P971" s="863">
        <f t="shared" si="64"/>
        <v>53.04</v>
      </c>
      <c r="Q971" s="874"/>
      <c r="R971" s="874"/>
      <c r="S971" s="841"/>
      <c r="T971" s="854"/>
    </row>
    <row r="972" spans="1:20" s="318" customFormat="1">
      <c r="A972" s="915"/>
      <c r="B972" s="919"/>
      <c r="C972" s="913"/>
      <c r="D972" s="349" t="s">
        <v>12</v>
      </c>
      <c r="E972" s="14"/>
      <c r="F972" s="17"/>
      <c r="G972" s="130" t="s">
        <v>1305</v>
      </c>
      <c r="H972" s="46"/>
      <c r="I972" s="46"/>
      <c r="J972" s="46"/>
      <c r="K972" s="46"/>
      <c r="L972" s="46"/>
      <c r="M972" s="9"/>
      <c r="N972" s="375"/>
      <c r="O972" s="789"/>
      <c r="P972" s="863"/>
      <c r="Q972" s="874"/>
      <c r="R972" s="874"/>
      <c r="S972" s="841"/>
      <c r="T972" s="854"/>
    </row>
    <row r="973" spans="1:20" s="610" customFormat="1">
      <c r="A973" s="915"/>
      <c r="B973" s="919"/>
      <c r="C973" s="913"/>
      <c r="D973" s="49" t="s">
        <v>162</v>
      </c>
      <c r="E973" s="828" t="s">
        <v>362</v>
      </c>
      <c r="F973" s="148"/>
      <c r="G973" s="179" t="s">
        <v>1304</v>
      </c>
      <c r="H973" s="265" t="s">
        <v>110</v>
      </c>
      <c r="I973" s="172">
        <v>38.25</v>
      </c>
      <c r="J973" s="148">
        <v>213.12</v>
      </c>
      <c r="K973" s="9">
        <f>J973*$S$3</f>
        <v>279.18720000000002</v>
      </c>
      <c r="L973" s="148">
        <v>16.8</v>
      </c>
      <c r="M973" s="9">
        <f t="shared" si="63"/>
        <v>326.08999999999997</v>
      </c>
      <c r="N973" s="948">
        <v>0</v>
      </c>
      <c r="O973" s="900">
        <f t="shared" si="65"/>
        <v>38.25</v>
      </c>
      <c r="P973" s="901">
        <f t="shared" si="64"/>
        <v>12472.94</v>
      </c>
      <c r="Q973" s="873"/>
      <c r="R973" s="873"/>
      <c r="S973" s="840"/>
      <c r="T973" s="853"/>
    </row>
    <row r="974" spans="1:20" s="610" customFormat="1">
      <c r="A974" s="915"/>
      <c r="B974" s="919"/>
      <c r="C974" s="913"/>
      <c r="D974" s="155" t="s">
        <v>11</v>
      </c>
      <c r="E974" s="361"/>
      <c r="F974" s="153"/>
      <c r="G974" s="12" t="s">
        <v>1303</v>
      </c>
      <c r="H974" s="154"/>
      <c r="I974" s="175"/>
      <c r="J974" s="172"/>
      <c r="K974" s="9"/>
      <c r="L974" s="148"/>
      <c r="M974" s="9"/>
      <c r="N974" s="926"/>
      <c r="O974" s="900"/>
      <c r="P974" s="901"/>
      <c r="Q974" s="873"/>
      <c r="R974" s="873"/>
      <c r="S974" s="840"/>
      <c r="T974" s="853"/>
    </row>
    <row r="975" spans="1:20" s="837" customFormat="1">
      <c r="A975" s="915"/>
      <c r="B975" s="919"/>
      <c r="C975" s="913"/>
      <c r="D975" s="49" t="s">
        <v>160</v>
      </c>
      <c r="E975" s="828" t="s">
        <v>718</v>
      </c>
      <c r="F975" s="148"/>
      <c r="G975" s="179" t="s">
        <v>1302</v>
      </c>
      <c r="H975" s="265" t="s">
        <v>246</v>
      </c>
      <c r="I975" s="172">
        <v>1</v>
      </c>
      <c r="J975" s="148">
        <v>1166.02</v>
      </c>
      <c r="K975" s="9">
        <f>J975*$S$3</f>
        <v>1527.4862000000001</v>
      </c>
      <c r="L975" s="148">
        <v>16.8</v>
      </c>
      <c r="M975" s="9">
        <f t="shared" si="63"/>
        <v>1784.1</v>
      </c>
      <c r="N975" s="948">
        <v>0</v>
      </c>
      <c r="O975" s="900">
        <f t="shared" si="65"/>
        <v>1</v>
      </c>
      <c r="P975" s="901">
        <f t="shared" si="64"/>
        <v>1784.1</v>
      </c>
      <c r="Q975" s="877">
        <v>4</v>
      </c>
      <c r="R975" s="877" t="s">
        <v>2430</v>
      </c>
      <c r="S975" s="845"/>
      <c r="T975" s="858"/>
    </row>
    <row r="976" spans="1:20" s="610" customFormat="1" ht="25.5">
      <c r="A976" s="915"/>
      <c r="B976" s="919"/>
      <c r="C976" s="913"/>
      <c r="D976" s="49" t="s">
        <v>159</v>
      </c>
      <c r="E976" s="828" t="s">
        <v>1907</v>
      </c>
      <c r="F976" s="148"/>
      <c r="G976" s="179" t="s">
        <v>1301</v>
      </c>
      <c r="H976" s="265" t="s">
        <v>246</v>
      </c>
      <c r="I976" s="172">
        <v>1</v>
      </c>
      <c r="J976" s="148">
        <v>1123.21</v>
      </c>
      <c r="K976" s="9">
        <f>J976*$S$3</f>
        <v>1471.4051000000002</v>
      </c>
      <c r="L976" s="148">
        <v>16.8</v>
      </c>
      <c r="M976" s="9">
        <f t="shared" si="63"/>
        <v>1718.6</v>
      </c>
      <c r="N976" s="948">
        <v>0</v>
      </c>
      <c r="O976" s="900">
        <f t="shared" si="65"/>
        <v>1</v>
      </c>
      <c r="P976" s="901">
        <f t="shared" si="64"/>
        <v>1718.6</v>
      </c>
      <c r="Q976" s="873"/>
      <c r="R976" s="873"/>
      <c r="S976" s="840"/>
      <c r="T976" s="853"/>
    </row>
    <row r="977" spans="1:20" s="344" customFormat="1" ht="25.5">
      <c r="A977" s="915"/>
      <c r="B977" s="919"/>
      <c r="C977" s="913"/>
      <c r="D977" s="49" t="s">
        <v>1300</v>
      </c>
      <c r="E977" s="805">
        <f>'[3]Plan Tron'!B375</f>
        <v>50</v>
      </c>
      <c r="F977" s="805" t="str">
        <f>'[3]Plan Tron'!C375</f>
        <v>SINAPI (INSUMO)</v>
      </c>
      <c r="G977" s="643" t="str">
        <f>'[3]Plan Tron'!D375</f>
        <v xml:space="preserve">ADAPTADOR, PVC PBA, A BOLSA DEFOFO, JE, DN 75 / DE 85 MM </v>
      </c>
      <c r="H977" s="805" t="str">
        <f>'[3]Plan Tron'!E375</f>
        <v xml:space="preserve">UN </v>
      </c>
      <c r="I977" s="172">
        <v>2</v>
      </c>
      <c r="J977" s="148">
        <v>35.49</v>
      </c>
      <c r="K977" s="148">
        <f>'[3]Plan Tron'!F375</f>
        <v>39.090000000000003</v>
      </c>
      <c r="L977" s="148">
        <v>16.8</v>
      </c>
      <c r="M977" s="9">
        <f t="shared" ref="M977:M1030" si="67">ROUND(K977*(L977/100+1),2)</f>
        <v>45.66</v>
      </c>
      <c r="N977" s="948">
        <v>0</v>
      </c>
      <c r="O977" s="900">
        <f t="shared" si="65"/>
        <v>2</v>
      </c>
      <c r="P977" s="901">
        <f t="shared" ref="P977:P1030" si="68">ROUND(O977*M977,2)</f>
        <v>91.32</v>
      </c>
      <c r="Q977" s="874"/>
      <c r="R977" s="874"/>
      <c r="S977" s="841"/>
      <c r="T977" s="854"/>
    </row>
    <row r="978" spans="1:20" s="318" customFormat="1">
      <c r="A978" s="915"/>
      <c r="B978" s="919"/>
      <c r="C978" s="913"/>
      <c r="D978" s="155" t="s">
        <v>10</v>
      </c>
      <c r="E978" s="154"/>
      <c r="F978" s="156"/>
      <c r="G978" s="12" t="s">
        <v>889</v>
      </c>
      <c r="H978" s="363"/>
      <c r="I978" s="364"/>
      <c r="J978" s="363"/>
      <c r="K978" s="363"/>
      <c r="L978" s="363"/>
      <c r="M978" s="9"/>
      <c r="N978" s="926"/>
      <c r="O978" s="900"/>
      <c r="P978" s="901"/>
      <c r="Q978" s="874"/>
      <c r="R978" s="874"/>
      <c r="S978" s="841"/>
      <c r="T978" s="854"/>
    </row>
    <row r="979" spans="1:20" s="610" customFormat="1">
      <c r="A979" s="915"/>
      <c r="B979" s="919" t="s">
        <v>2457</v>
      </c>
      <c r="C979" s="913"/>
      <c r="D979" s="49" t="s">
        <v>1299</v>
      </c>
      <c r="E979" s="828" t="s">
        <v>1200</v>
      </c>
      <c r="F979" s="148"/>
      <c r="G979" s="179" t="s">
        <v>1298</v>
      </c>
      <c r="H979" s="265" t="s">
        <v>326</v>
      </c>
      <c r="I979" s="172">
        <v>9</v>
      </c>
      <c r="J979" s="148">
        <v>58.27</v>
      </c>
      <c r="K979" s="9">
        <f>J979*$S$3</f>
        <v>76.333700000000007</v>
      </c>
      <c r="L979" s="148">
        <v>16.8</v>
      </c>
      <c r="M979" s="9">
        <f t="shared" si="67"/>
        <v>89.16</v>
      </c>
      <c r="N979" s="948">
        <v>0</v>
      </c>
      <c r="O979" s="900">
        <f t="shared" si="65"/>
        <v>9</v>
      </c>
      <c r="P979" s="901">
        <f t="shared" si="68"/>
        <v>802.44</v>
      </c>
      <c r="Q979" s="873"/>
      <c r="R979" s="873"/>
      <c r="S979" s="840"/>
      <c r="T979" s="853"/>
    </row>
    <row r="980" spans="1:20" s="318" customFormat="1">
      <c r="A980" s="915"/>
      <c r="B980" s="919"/>
      <c r="C980" s="913"/>
      <c r="D980" s="49"/>
      <c r="E980" s="828"/>
      <c r="F980" s="148"/>
      <c r="G980" s="179"/>
      <c r="H980" s="265"/>
      <c r="I980" s="172"/>
      <c r="J980" s="148"/>
      <c r="K980" s="148"/>
      <c r="L980" s="148"/>
      <c r="M980" s="9"/>
      <c r="N980" s="926"/>
      <c r="O980" s="900"/>
      <c r="P980" s="901"/>
      <c r="Q980" s="874"/>
      <c r="R980" s="874"/>
      <c r="S980" s="841"/>
      <c r="T980" s="854"/>
    </row>
    <row r="981" spans="1:20" s="318" customFormat="1">
      <c r="A981" s="915"/>
      <c r="B981" s="919"/>
      <c r="C981" s="913"/>
      <c r="D981" s="49"/>
      <c r="E981" s="828"/>
      <c r="F981" s="148"/>
      <c r="G981" s="179"/>
      <c r="H981" s="265"/>
      <c r="I981" s="172"/>
      <c r="J981" s="148"/>
      <c r="K981" s="148"/>
      <c r="L981" s="148"/>
      <c r="M981" s="9"/>
      <c r="N981" s="926"/>
      <c r="O981" s="900"/>
      <c r="P981" s="901"/>
      <c r="Q981" s="874"/>
      <c r="R981" s="874"/>
      <c r="S981" s="841"/>
      <c r="T981" s="854"/>
    </row>
    <row r="982" spans="1:20" s="318" customFormat="1">
      <c r="A982" s="915"/>
      <c r="B982" s="919"/>
      <c r="C982" s="913"/>
      <c r="D982" s="49"/>
      <c r="E982" s="828"/>
      <c r="F982" s="148"/>
      <c r="G982" s="179"/>
      <c r="H982" s="265"/>
      <c r="I982" s="172"/>
      <c r="J982" s="148"/>
      <c r="K982" s="148"/>
      <c r="L982" s="148"/>
      <c r="M982" s="9"/>
      <c r="N982" s="375"/>
      <c r="O982" s="789"/>
      <c r="P982" s="863"/>
      <c r="Q982" s="874"/>
      <c r="R982" s="874"/>
      <c r="S982" s="841"/>
      <c r="T982" s="854"/>
    </row>
    <row r="983" spans="1:20" s="610" customFormat="1">
      <c r="A983" s="915"/>
      <c r="B983" s="919" t="s">
        <v>2457</v>
      </c>
      <c r="C983" s="913"/>
      <c r="D983" s="49" t="s">
        <v>1297</v>
      </c>
      <c r="E983" s="828" t="s">
        <v>1908</v>
      </c>
      <c r="F983" s="148"/>
      <c r="G983" s="179" t="s">
        <v>1296</v>
      </c>
      <c r="H983" s="265" t="s">
        <v>326</v>
      </c>
      <c r="I983" s="172">
        <v>11</v>
      </c>
      <c r="J983" s="148">
        <v>94.26</v>
      </c>
      <c r="K983" s="9">
        <f>J983*$S$3</f>
        <v>123.48060000000001</v>
      </c>
      <c r="L983" s="148">
        <v>16.8</v>
      </c>
      <c r="M983" s="9">
        <f t="shared" si="67"/>
        <v>144.22999999999999</v>
      </c>
      <c r="N983" s="382">
        <v>0</v>
      </c>
      <c r="O983" s="789">
        <f t="shared" si="65"/>
        <v>11</v>
      </c>
      <c r="P983" s="863">
        <f t="shared" si="68"/>
        <v>1586.53</v>
      </c>
      <c r="Q983" s="873"/>
      <c r="R983" s="873"/>
      <c r="S983" s="840"/>
      <c r="T983" s="853"/>
    </row>
    <row r="984" spans="1:20" s="610" customFormat="1">
      <c r="A984" s="915" t="s">
        <v>2456</v>
      </c>
      <c r="B984" s="919"/>
      <c r="C984" s="913"/>
      <c r="D984" s="49" t="s">
        <v>1295</v>
      </c>
      <c r="E984" s="828" t="s">
        <v>359</v>
      </c>
      <c r="F984" s="148"/>
      <c r="G984" s="179" t="s">
        <v>1294</v>
      </c>
      <c r="H984" s="265" t="s">
        <v>326</v>
      </c>
      <c r="I984" s="172">
        <v>6</v>
      </c>
      <c r="J984" s="148">
        <v>493.56</v>
      </c>
      <c r="K984" s="9">
        <f>J984*$S$3</f>
        <v>646.56360000000006</v>
      </c>
      <c r="L984" s="148">
        <v>16.8</v>
      </c>
      <c r="M984" s="9">
        <f t="shared" si="67"/>
        <v>755.19</v>
      </c>
      <c r="N984" s="382">
        <v>0</v>
      </c>
      <c r="O984" s="789">
        <f t="shared" si="65"/>
        <v>6</v>
      </c>
      <c r="P984" s="863">
        <f t="shared" si="68"/>
        <v>4531.1400000000003</v>
      </c>
      <c r="Q984" s="873"/>
      <c r="R984" s="873"/>
      <c r="S984" s="840"/>
      <c r="T984" s="853"/>
    </row>
    <row r="985" spans="1:20">
      <c r="D985" s="49"/>
      <c r="E985" s="828"/>
      <c r="F985" s="148"/>
      <c r="G985" s="173"/>
      <c r="H985" s="265"/>
      <c r="I985" s="172"/>
      <c r="J985" s="148"/>
      <c r="K985" s="148"/>
      <c r="L985" s="148"/>
      <c r="M985" s="9"/>
      <c r="N985" s="375"/>
      <c r="O985" s="789"/>
      <c r="P985" s="863"/>
      <c r="Q985" s="874"/>
      <c r="R985" s="874"/>
      <c r="S985" s="841"/>
      <c r="T985" s="854"/>
    </row>
    <row r="986" spans="1:20">
      <c r="D986" s="49"/>
      <c r="E986" s="361"/>
      <c r="F986" s="361"/>
      <c r="G986" s="185"/>
      <c r="H986" s="154"/>
      <c r="I986" s="175"/>
      <c r="J986" s="172"/>
      <c r="K986" s="172"/>
      <c r="L986" s="172"/>
      <c r="M986" s="9"/>
      <c r="N986" s="380"/>
      <c r="O986" s="789"/>
      <c r="P986" s="863"/>
      <c r="Q986" s="874"/>
      <c r="R986" s="874"/>
      <c r="S986" s="841"/>
      <c r="T986" s="854"/>
    </row>
    <row r="987" spans="1:20" s="299" customFormat="1">
      <c r="A987" s="918"/>
      <c r="B987" s="922"/>
      <c r="C987" s="924"/>
      <c r="D987" s="338"/>
      <c r="E987" s="340"/>
      <c r="F987" s="338"/>
      <c r="G987" s="340" t="s">
        <v>70</v>
      </c>
      <c r="H987" s="338">
        <f>D921</f>
        <v>25</v>
      </c>
      <c r="I987" s="338"/>
      <c r="J987" s="338"/>
      <c r="K987" s="338"/>
      <c r="L987" s="338"/>
      <c r="M987" s="9"/>
      <c r="N987" s="381"/>
      <c r="O987" s="789"/>
      <c r="P987" s="863">
        <f>SUM(P926:P984)</f>
        <v>133215.88</v>
      </c>
      <c r="Q987" s="874"/>
      <c r="R987" s="874"/>
      <c r="S987" s="841"/>
      <c r="T987" s="854"/>
    </row>
    <row r="988" spans="1:20">
      <c r="D988" s="339"/>
      <c r="E988" s="409"/>
      <c r="F988" s="339"/>
      <c r="G988" s="339"/>
      <c r="H988" s="339"/>
      <c r="I988" s="339"/>
      <c r="J988" s="339"/>
      <c r="K988" s="339"/>
      <c r="L988" s="339"/>
      <c r="M988" s="9"/>
      <c r="N988" s="375"/>
      <c r="O988" s="789"/>
      <c r="P988" s="863"/>
      <c r="Q988" s="874"/>
      <c r="R988" s="874"/>
      <c r="S988" s="841"/>
      <c r="T988" s="854"/>
    </row>
    <row r="989" spans="1:20" s="310" customFormat="1">
      <c r="A989" s="915"/>
      <c r="B989" s="919"/>
      <c r="C989" s="913"/>
      <c r="D989" s="108" t="s">
        <v>36</v>
      </c>
      <c r="E989" s="813"/>
      <c r="F989" s="109"/>
      <c r="G989" s="108" t="s">
        <v>1972</v>
      </c>
      <c r="H989" s="109"/>
      <c r="I989" s="109"/>
      <c r="J989" s="109"/>
      <c r="K989" s="109"/>
      <c r="L989" s="109"/>
      <c r="M989" s="791"/>
      <c r="N989" s="378"/>
      <c r="O989" s="792"/>
      <c r="P989" s="864"/>
      <c r="Q989" s="872"/>
      <c r="R989" s="872"/>
      <c r="S989" s="842"/>
      <c r="T989" s="852"/>
    </row>
    <row r="990" spans="1:20">
      <c r="D990" s="44"/>
      <c r="E990" s="296"/>
      <c r="F990" s="44"/>
      <c r="G990" s="44"/>
      <c r="H990" s="44"/>
      <c r="I990" s="44"/>
      <c r="J990" s="302"/>
      <c r="K990" s="302"/>
      <c r="L990" s="44"/>
      <c r="M990" s="9"/>
      <c r="N990" s="375"/>
      <c r="O990" s="789"/>
      <c r="P990" s="863"/>
      <c r="Q990" s="874"/>
      <c r="R990" s="874"/>
      <c r="S990" s="841"/>
      <c r="T990" s="854"/>
    </row>
    <row r="991" spans="1:20" ht="25.5">
      <c r="D991" s="266"/>
      <c r="E991" s="127"/>
      <c r="F991" s="123"/>
      <c r="G991" s="124" t="s">
        <v>342</v>
      </c>
      <c r="H991" s="146"/>
      <c r="I991" s="121"/>
      <c r="J991" s="120"/>
      <c r="K991" s="120"/>
      <c r="L991" s="120"/>
      <c r="M991" s="9"/>
      <c r="N991" s="375"/>
      <c r="O991" s="789"/>
      <c r="P991" s="863"/>
      <c r="Q991" s="874"/>
      <c r="R991" s="874"/>
      <c r="S991" s="841"/>
      <c r="T991" s="854"/>
    </row>
    <row r="992" spans="1:20">
      <c r="D992" s="266"/>
      <c r="E992" s="127"/>
      <c r="F992" s="123"/>
      <c r="G992" s="124"/>
      <c r="H992" s="146"/>
      <c r="I992" s="121"/>
      <c r="J992" s="120"/>
      <c r="K992" s="120"/>
      <c r="L992" s="120"/>
      <c r="M992" s="9"/>
      <c r="N992" s="375"/>
      <c r="O992" s="789"/>
      <c r="P992" s="863"/>
      <c r="Q992" s="874"/>
      <c r="R992" s="874"/>
      <c r="S992" s="841"/>
      <c r="T992" s="854"/>
    </row>
    <row r="993" spans="1:20">
      <c r="D993" s="122">
        <v>1</v>
      </c>
      <c r="E993" s="127"/>
      <c r="F993" s="123"/>
      <c r="G993" s="124" t="s">
        <v>1404</v>
      </c>
      <c r="H993" s="221"/>
      <c r="I993" s="222"/>
      <c r="J993" s="125"/>
      <c r="K993" s="125"/>
      <c r="L993" s="125"/>
      <c r="M993" s="9"/>
      <c r="N993" s="926"/>
      <c r="O993" s="900"/>
      <c r="P993" s="901"/>
      <c r="Q993" s="874"/>
      <c r="R993" s="874"/>
      <c r="S993" s="841"/>
      <c r="T993" s="854"/>
    </row>
    <row r="994" spans="1:20">
      <c r="D994" s="126" t="s">
        <v>20</v>
      </c>
      <c r="E994" s="127"/>
      <c r="F994" s="123"/>
      <c r="G994" s="116" t="s">
        <v>766</v>
      </c>
      <c r="H994" s="223"/>
      <c r="I994" s="224"/>
      <c r="J994" s="225"/>
      <c r="K994" s="225"/>
      <c r="L994" s="225"/>
      <c r="M994" s="9"/>
      <c r="N994" s="926"/>
      <c r="O994" s="900"/>
      <c r="P994" s="901"/>
      <c r="Q994" s="874"/>
      <c r="R994" s="874"/>
      <c r="S994" s="841"/>
      <c r="T994" s="854"/>
    </row>
    <row r="995" spans="1:20" s="837" customFormat="1" ht="25.5">
      <c r="A995" s="915"/>
      <c r="B995" s="919" t="s">
        <v>2457</v>
      </c>
      <c r="C995" s="913"/>
      <c r="D995" s="126" t="s">
        <v>153</v>
      </c>
      <c r="E995" s="807" t="s">
        <v>1402</v>
      </c>
      <c r="F995" s="226"/>
      <c r="G995" s="116" t="s">
        <v>1403</v>
      </c>
      <c r="H995" s="119" t="s">
        <v>326</v>
      </c>
      <c r="I995" s="121">
        <v>3</v>
      </c>
      <c r="J995" s="120">
        <v>8046.18</v>
      </c>
      <c r="K995" s="9">
        <f>J995*$S$3</f>
        <v>10540.495800000001</v>
      </c>
      <c r="L995" s="120">
        <v>16.8</v>
      </c>
      <c r="M995" s="9">
        <f t="shared" si="67"/>
        <v>12311.3</v>
      </c>
      <c r="N995" s="948">
        <v>0</v>
      </c>
      <c r="O995" s="900">
        <f t="shared" ref="O995:O1057" si="69">I995-N995</f>
        <v>3</v>
      </c>
      <c r="P995" s="901">
        <f t="shared" si="68"/>
        <v>36933.9</v>
      </c>
      <c r="Q995" s="877">
        <v>330</v>
      </c>
      <c r="R995" s="877" t="s">
        <v>2431</v>
      </c>
      <c r="S995" s="845"/>
      <c r="T995" s="858"/>
    </row>
    <row r="996" spans="1:20">
      <c r="D996" s="126" t="s">
        <v>19</v>
      </c>
      <c r="E996" s="807"/>
      <c r="F996" s="226"/>
      <c r="G996" s="116" t="s">
        <v>907</v>
      </c>
      <c r="H996" s="227"/>
      <c r="I996" s="228"/>
      <c r="J996" s="356"/>
      <c r="K996" s="356"/>
      <c r="L996" s="120"/>
      <c r="M996" s="9"/>
      <c r="N996" s="926"/>
      <c r="O996" s="900"/>
      <c r="P996" s="901"/>
      <c r="Q996" s="874"/>
      <c r="R996" s="874"/>
      <c r="S996" s="841"/>
      <c r="T996" s="854"/>
    </row>
    <row r="997" spans="1:20" s="610" customFormat="1" ht="25.5">
      <c r="A997" s="915"/>
      <c r="B997" s="919" t="s">
        <v>2457</v>
      </c>
      <c r="C997" s="913"/>
      <c r="D997" s="126" t="s">
        <v>147</v>
      </c>
      <c r="E997" s="807" t="s">
        <v>1400</v>
      </c>
      <c r="F997" s="226"/>
      <c r="G997" s="116" t="s">
        <v>1401</v>
      </c>
      <c r="H997" s="119" t="s">
        <v>246</v>
      </c>
      <c r="I997" s="121">
        <v>3</v>
      </c>
      <c r="J997" s="120">
        <v>680</v>
      </c>
      <c r="K997" s="9">
        <f>J997*$S$3</f>
        <v>890.80000000000007</v>
      </c>
      <c r="L997" s="120">
        <v>16.8</v>
      </c>
      <c r="M997" s="9">
        <f t="shared" si="67"/>
        <v>1040.45</v>
      </c>
      <c r="N997" s="948">
        <v>0</v>
      </c>
      <c r="O997" s="900">
        <f t="shared" si="69"/>
        <v>3</v>
      </c>
      <c r="P997" s="901">
        <f t="shared" si="68"/>
        <v>3121.35</v>
      </c>
      <c r="Q997" s="873"/>
      <c r="R997" s="873"/>
      <c r="S997" s="840"/>
      <c r="T997" s="853"/>
    </row>
    <row r="998" spans="1:20" s="885" customFormat="1" ht="25.5">
      <c r="A998" s="915"/>
      <c r="B998" s="919"/>
      <c r="C998" s="913"/>
      <c r="D998" s="126" t="s">
        <v>213</v>
      </c>
      <c r="E998" s="807" t="s">
        <v>1398</v>
      </c>
      <c r="F998" s="226"/>
      <c r="G998" s="116" t="s">
        <v>1399</v>
      </c>
      <c r="H998" s="119" t="s">
        <v>246</v>
      </c>
      <c r="I998" s="121">
        <v>3</v>
      </c>
      <c r="J998" s="120">
        <v>439.32</v>
      </c>
      <c r="K998" s="9">
        <v>600</v>
      </c>
      <c r="L998" s="120">
        <v>16.8</v>
      </c>
      <c r="M998" s="9">
        <f t="shared" si="67"/>
        <v>700.8</v>
      </c>
      <c r="N998" s="948">
        <v>0</v>
      </c>
      <c r="O998" s="900">
        <f t="shared" si="69"/>
        <v>3</v>
      </c>
      <c r="P998" s="901">
        <f t="shared" si="68"/>
        <v>2102.4</v>
      </c>
      <c r="Q998" s="882"/>
      <c r="R998" s="882" t="s">
        <v>2446</v>
      </c>
      <c r="S998" s="883"/>
      <c r="T998" s="884"/>
    </row>
    <row r="999" spans="1:20" s="885" customFormat="1" ht="25.5">
      <c r="A999" s="915"/>
      <c r="B999" s="919"/>
      <c r="C999" s="913"/>
      <c r="D999" s="126" t="s">
        <v>212</v>
      </c>
      <c r="E999" s="807" t="s">
        <v>1236</v>
      </c>
      <c r="F999" s="226"/>
      <c r="G999" s="116" t="s">
        <v>1237</v>
      </c>
      <c r="H999" s="119" t="s">
        <v>246</v>
      </c>
      <c r="I999" s="121">
        <v>1</v>
      </c>
      <c r="J999" s="120">
        <v>300</v>
      </c>
      <c r="K999" s="9">
        <v>300</v>
      </c>
      <c r="L999" s="120">
        <v>16.8</v>
      </c>
      <c r="M999" s="9">
        <f t="shared" si="67"/>
        <v>350.4</v>
      </c>
      <c r="N999" s="948">
        <v>0</v>
      </c>
      <c r="O999" s="900">
        <f t="shared" si="69"/>
        <v>1</v>
      </c>
      <c r="P999" s="901">
        <f t="shared" si="68"/>
        <v>350.4</v>
      </c>
      <c r="Q999" s="882"/>
      <c r="R999" s="882" t="s">
        <v>2446</v>
      </c>
      <c r="S999" s="883"/>
      <c r="T999" s="884"/>
    </row>
    <row r="1000" spans="1:20" s="610" customFormat="1">
      <c r="A1000" s="915"/>
      <c r="B1000" s="919" t="s">
        <v>2457</v>
      </c>
      <c r="C1000" s="913"/>
      <c r="D1000" s="126" t="s">
        <v>211</v>
      </c>
      <c r="E1000" s="807" t="s">
        <v>1396</v>
      </c>
      <c r="F1000" s="226"/>
      <c r="G1000" s="116" t="s">
        <v>1397</v>
      </c>
      <c r="H1000" s="119" t="s">
        <v>246</v>
      </c>
      <c r="I1000" s="121">
        <v>1</v>
      </c>
      <c r="J1000" s="120">
        <v>645</v>
      </c>
      <c r="K1000" s="9">
        <f>J1000*$S$3</f>
        <v>844.95</v>
      </c>
      <c r="L1000" s="120">
        <v>16.8</v>
      </c>
      <c r="M1000" s="9">
        <f t="shared" si="67"/>
        <v>986.9</v>
      </c>
      <c r="N1000" s="948">
        <v>0</v>
      </c>
      <c r="O1000" s="900">
        <f t="shared" si="69"/>
        <v>1</v>
      </c>
      <c r="P1000" s="901">
        <f t="shared" si="68"/>
        <v>986.9</v>
      </c>
      <c r="Q1000" s="873"/>
      <c r="R1000" s="873"/>
      <c r="S1000" s="840"/>
      <c r="T1000" s="853"/>
    </row>
    <row r="1001" spans="1:20">
      <c r="D1001" s="126" t="s">
        <v>18</v>
      </c>
      <c r="E1001" s="807"/>
      <c r="F1001" s="226"/>
      <c r="G1001" s="116" t="s">
        <v>1395</v>
      </c>
      <c r="H1001" s="227"/>
      <c r="I1001" s="228"/>
      <c r="J1001" s="120"/>
      <c r="K1001" s="120"/>
      <c r="L1001" s="120"/>
      <c r="M1001" s="9"/>
      <c r="N1001" s="948"/>
      <c r="O1001" s="900"/>
      <c r="P1001" s="901"/>
      <c r="Q1001" s="874"/>
      <c r="R1001" s="874"/>
      <c r="S1001" s="841"/>
      <c r="T1001" s="854"/>
    </row>
    <row r="1002" spans="1:20" s="610" customFormat="1" ht="25.5">
      <c r="A1002" s="915"/>
      <c r="B1002" s="919" t="s">
        <v>2457</v>
      </c>
      <c r="C1002" s="913"/>
      <c r="D1002" s="126" t="s">
        <v>201</v>
      </c>
      <c r="E1002" s="807" t="s">
        <v>1393</v>
      </c>
      <c r="F1002" s="226"/>
      <c r="G1002" s="116" t="s">
        <v>1394</v>
      </c>
      <c r="H1002" s="119" t="s">
        <v>246</v>
      </c>
      <c r="I1002" s="121">
        <v>3</v>
      </c>
      <c r="J1002" s="120">
        <v>1302.1500000000001</v>
      </c>
      <c r="K1002" s="9">
        <f>J1002*$S$3</f>
        <v>1705.8165000000001</v>
      </c>
      <c r="L1002" s="120">
        <v>16.8</v>
      </c>
      <c r="M1002" s="9">
        <f t="shared" si="67"/>
        <v>1992.39</v>
      </c>
      <c r="N1002" s="948">
        <v>0</v>
      </c>
      <c r="O1002" s="900">
        <f t="shared" si="69"/>
        <v>3</v>
      </c>
      <c r="P1002" s="901">
        <f t="shared" si="68"/>
        <v>5977.17</v>
      </c>
      <c r="Q1002" s="873"/>
      <c r="R1002" s="873"/>
      <c r="S1002" s="840"/>
      <c r="T1002" s="853"/>
    </row>
    <row r="1003" spans="1:20">
      <c r="D1003" s="126" t="s">
        <v>17</v>
      </c>
      <c r="E1003" s="807"/>
      <c r="F1003" s="226"/>
      <c r="G1003" s="116" t="s">
        <v>1392</v>
      </c>
      <c r="H1003" s="119"/>
      <c r="I1003" s="121"/>
      <c r="J1003" s="120"/>
      <c r="K1003" s="120"/>
      <c r="L1003" s="120"/>
      <c r="M1003" s="9"/>
      <c r="N1003" s="382"/>
      <c r="O1003" s="789"/>
      <c r="P1003" s="863"/>
      <c r="Q1003" s="874"/>
      <c r="R1003" s="874"/>
      <c r="S1003" s="841"/>
      <c r="T1003" s="854"/>
    </row>
    <row r="1004" spans="1:20" s="610" customFormat="1" ht="25.5">
      <c r="A1004" s="915"/>
      <c r="B1004" s="919" t="s">
        <v>2457</v>
      </c>
      <c r="C1004" s="913"/>
      <c r="D1004" s="126" t="s">
        <v>195</v>
      </c>
      <c r="E1004" s="807" t="s">
        <v>1390</v>
      </c>
      <c r="F1004" s="226"/>
      <c r="G1004" s="116" t="s">
        <v>1391</v>
      </c>
      <c r="H1004" s="119" t="s">
        <v>246</v>
      </c>
      <c r="I1004" s="121">
        <v>6</v>
      </c>
      <c r="J1004" s="120">
        <v>1257.9000000000001</v>
      </c>
      <c r="K1004" s="9">
        <f t="shared" ref="K1004:K1009" si="70">J1004*$S$3</f>
        <v>1647.8490000000002</v>
      </c>
      <c r="L1004" s="120">
        <v>16.8</v>
      </c>
      <c r="M1004" s="9">
        <f t="shared" si="67"/>
        <v>1924.69</v>
      </c>
      <c r="N1004" s="382">
        <v>0</v>
      </c>
      <c r="O1004" s="789">
        <f t="shared" si="69"/>
        <v>6</v>
      </c>
      <c r="P1004" s="863">
        <f t="shared" si="68"/>
        <v>11548.14</v>
      </c>
      <c r="Q1004" s="873"/>
      <c r="R1004" s="873"/>
      <c r="S1004" s="840"/>
      <c r="T1004" s="853"/>
    </row>
    <row r="1005" spans="1:20" s="610" customFormat="1" ht="25.5">
      <c r="A1005" s="915"/>
      <c r="B1005" s="919" t="s">
        <v>2457</v>
      </c>
      <c r="C1005" s="913"/>
      <c r="D1005" s="126" t="s">
        <v>192</v>
      </c>
      <c r="E1005" s="940" t="s">
        <v>1909</v>
      </c>
      <c r="F1005" s="941"/>
      <c r="G1005" s="116" t="s">
        <v>1389</v>
      </c>
      <c r="H1005" s="119" t="s">
        <v>246</v>
      </c>
      <c r="I1005" s="121">
        <v>3</v>
      </c>
      <c r="J1005" s="120">
        <v>380</v>
      </c>
      <c r="K1005" s="9">
        <f t="shared" si="70"/>
        <v>497.8</v>
      </c>
      <c r="L1005" s="120">
        <v>16.8</v>
      </c>
      <c r="M1005" s="9">
        <f t="shared" si="67"/>
        <v>581.42999999999995</v>
      </c>
      <c r="N1005" s="382">
        <v>0</v>
      </c>
      <c r="O1005" s="789">
        <f t="shared" si="69"/>
        <v>3</v>
      </c>
      <c r="P1005" s="863">
        <f t="shared" si="68"/>
        <v>1744.29</v>
      </c>
      <c r="Q1005" s="873"/>
      <c r="R1005" s="873"/>
      <c r="S1005" s="840"/>
      <c r="T1005" s="853"/>
    </row>
    <row r="1006" spans="1:20" s="610" customFormat="1" ht="25.5">
      <c r="A1006" s="915"/>
      <c r="B1006" s="919" t="s">
        <v>2457</v>
      </c>
      <c r="C1006" s="913"/>
      <c r="D1006" s="126" t="s">
        <v>280</v>
      </c>
      <c r="E1006" s="940" t="s">
        <v>1909</v>
      </c>
      <c r="F1006" s="941"/>
      <c r="G1006" s="116" t="s">
        <v>1388</v>
      </c>
      <c r="H1006" s="119" t="s">
        <v>246</v>
      </c>
      <c r="I1006" s="121">
        <v>1</v>
      </c>
      <c r="J1006" s="120">
        <v>440</v>
      </c>
      <c r="K1006" s="9">
        <f t="shared" si="70"/>
        <v>576.4</v>
      </c>
      <c r="L1006" s="120">
        <v>16.8</v>
      </c>
      <c r="M1006" s="9">
        <f t="shared" si="67"/>
        <v>673.24</v>
      </c>
      <c r="N1006" s="382">
        <v>0</v>
      </c>
      <c r="O1006" s="789">
        <f t="shared" si="69"/>
        <v>1</v>
      </c>
      <c r="P1006" s="863">
        <f t="shared" si="68"/>
        <v>673.24</v>
      </c>
      <c r="Q1006" s="873"/>
      <c r="R1006" s="873"/>
      <c r="S1006" s="840"/>
      <c r="T1006" s="853"/>
    </row>
    <row r="1007" spans="1:20" s="610" customFormat="1" ht="25.5">
      <c r="A1007" s="915"/>
      <c r="B1007" s="919" t="s">
        <v>2457</v>
      </c>
      <c r="C1007" s="913"/>
      <c r="D1007" s="126" t="s">
        <v>277</v>
      </c>
      <c r="E1007" s="940" t="s">
        <v>1910</v>
      </c>
      <c r="F1007" s="941"/>
      <c r="G1007" s="116" t="s">
        <v>1387</v>
      </c>
      <c r="H1007" s="119" t="s">
        <v>246</v>
      </c>
      <c r="I1007" s="121">
        <v>1</v>
      </c>
      <c r="J1007" s="120">
        <v>690.88</v>
      </c>
      <c r="K1007" s="9">
        <f t="shared" si="70"/>
        <v>905.05280000000005</v>
      </c>
      <c r="L1007" s="120">
        <v>16.8</v>
      </c>
      <c r="M1007" s="9">
        <f t="shared" si="67"/>
        <v>1057.0999999999999</v>
      </c>
      <c r="N1007" s="382">
        <v>0</v>
      </c>
      <c r="O1007" s="789">
        <f t="shared" si="69"/>
        <v>1</v>
      </c>
      <c r="P1007" s="863">
        <f t="shared" si="68"/>
        <v>1057.0999999999999</v>
      </c>
      <c r="Q1007" s="873"/>
      <c r="R1007" s="873"/>
      <c r="S1007" s="840"/>
      <c r="T1007" s="853"/>
    </row>
    <row r="1008" spans="1:20" s="610" customFormat="1" ht="25.5">
      <c r="A1008" s="915"/>
      <c r="B1008" s="919" t="s">
        <v>2457</v>
      </c>
      <c r="C1008" s="913"/>
      <c r="D1008" s="126" t="s">
        <v>275</v>
      </c>
      <c r="E1008" s="940" t="s">
        <v>1911</v>
      </c>
      <c r="F1008" s="941"/>
      <c r="G1008" s="116" t="s">
        <v>1386</v>
      </c>
      <c r="H1008" s="119" t="s">
        <v>246</v>
      </c>
      <c r="I1008" s="121">
        <v>1</v>
      </c>
      <c r="J1008" s="120">
        <v>1049.6300000000001</v>
      </c>
      <c r="K1008" s="9">
        <f t="shared" si="70"/>
        <v>1375.0153000000003</v>
      </c>
      <c r="L1008" s="120">
        <v>16.8</v>
      </c>
      <c r="M1008" s="9">
        <f t="shared" si="67"/>
        <v>1606.02</v>
      </c>
      <c r="N1008" s="382">
        <v>0</v>
      </c>
      <c r="O1008" s="789">
        <f t="shared" si="69"/>
        <v>1</v>
      </c>
      <c r="P1008" s="863">
        <f t="shared" si="68"/>
        <v>1606.02</v>
      </c>
      <c r="Q1008" s="873"/>
      <c r="R1008" s="873"/>
      <c r="S1008" s="840"/>
      <c r="T1008" s="853"/>
    </row>
    <row r="1009" spans="1:20" s="610" customFormat="1" ht="25.5">
      <c r="A1009" s="915"/>
      <c r="B1009" s="919" t="s">
        <v>2457</v>
      </c>
      <c r="C1009" s="913"/>
      <c r="D1009" s="126" t="s">
        <v>274</v>
      </c>
      <c r="E1009" s="940" t="s">
        <v>1912</v>
      </c>
      <c r="F1009" s="941"/>
      <c r="G1009" s="116" t="s">
        <v>1385</v>
      </c>
      <c r="H1009" s="119" t="s">
        <v>246</v>
      </c>
      <c r="I1009" s="121">
        <v>1</v>
      </c>
      <c r="J1009" s="120">
        <v>822.79</v>
      </c>
      <c r="K1009" s="9">
        <f t="shared" si="70"/>
        <v>1077.8549</v>
      </c>
      <c r="L1009" s="120">
        <v>16.8</v>
      </c>
      <c r="M1009" s="9">
        <f t="shared" si="67"/>
        <v>1258.93</v>
      </c>
      <c r="N1009" s="382">
        <v>0</v>
      </c>
      <c r="O1009" s="789">
        <f t="shared" si="69"/>
        <v>1</v>
      </c>
      <c r="P1009" s="863">
        <f t="shared" si="68"/>
        <v>1258.93</v>
      </c>
      <c r="Q1009" s="873"/>
      <c r="R1009" s="873"/>
      <c r="S1009" s="840"/>
      <c r="T1009" s="853"/>
    </row>
    <row r="1010" spans="1:20" s="318" customFormat="1">
      <c r="A1010" s="915"/>
      <c r="B1010" s="919"/>
      <c r="C1010" s="913"/>
      <c r="D1010" s="126" t="s">
        <v>16</v>
      </c>
      <c r="E1010" s="807"/>
      <c r="F1010" s="226"/>
      <c r="G1010" s="116" t="s">
        <v>335</v>
      </c>
      <c r="H1010" s="227"/>
      <c r="I1010" s="228"/>
      <c r="J1010" s="356"/>
      <c r="K1010" s="356"/>
      <c r="L1010" s="120"/>
      <c r="M1010" s="9"/>
      <c r="N1010" s="382"/>
      <c r="O1010" s="789"/>
      <c r="P1010" s="863"/>
      <c r="Q1010" s="874"/>
      <c r="R1010" s="874"/>
      <c r="S1010" s="841"/>
      <c r="T1010" s="854"/>
    </row>
    <row r="1011" spans="1:20" s="610" customFormat="1" ht="25.5">
      <c r="A1011" s="915"/>
      <c r="B1011" s="919" t="s">
        <v>2457</v>
      </c>
      <c r="C1011" s="913"/>
      <c r="D1011" s="126" t="s">
        <v>270</v>
      </c>
      <c r="E1011" s="807" t="s">
        <v>1383</v>
      </c>
      <c r="F1011" s="226"/>
      <c r="G1011" s="116" t="s">
        <v>1384</v>
      </c>
      <c r="H1011" s="119" t="s">
        <v>246</v>
      </c>
      <c r="I1011" s="121">
        <v>3</v>
      </c>
      <c r="J1011" s="120">
        <v>128.80000000000001</v>
      </c>
      <c r="K1011" s="9">
        <f>J1011*$S$3</f>
        <v>168.72800000000001</v>
      </c>
      <c r="L1011" s="120">
        <v>16.8</v>
      </c>
      <c r="M1011" s="9">
        <f t="shared" si="67"/>
        <v>197.07</v>
      </c>
      <c r="N1011" s="382">
        <v>0</v>
      </c>
      <c r="O1011" s="789">
        <f t="shared" si="69"/>
        <v>3</v>
      </c>
      <c r="P1011" s="863">
        <f t="shared" si="68"/>
        <v>591.21</v>
      </c>
      <c r="Q1011" s="873"/>
      <c r="R1011" s="873"/>
      <c r="S1011" s="840"/>
      <c r="T1011" s="853"/>
    </row>
    <row r="1012" spans="1:20" s="610" customFormat="1" ht="25.5">
      <c r="A1012" s="915"/>
      <c r="B1012" s="919" t="s">
        <v>2457</v>
      </c>
      <c r="C1012" s="913"/>
      <c r="D1012" s="126" t="s">
        <v>369</v>
      </c>
      <c r="E1012" s="807" t="s">
        <v>724</v>
      </c>
      <c r="F1012" s="226"/>
      <c r="G1012" s="116" t="s">
        <v>1382</v>
      </c>
      <c r="H1012" s="119" t="s">
        <v>246</v>
      </c>
      <c r="I1012" s="121">
        <v>3</v>
      </c>
      <c r="J1012" s="120">
        <v>147.74</v>
      </c>
      <c r="K1012" s="9">
        <f>J1012*$S$3</f>
        <v>193.53940000000003</v>
      </c>
      <c r="L1012" s="120">
        <v>16.8</v>
      </c>
      <c r="M1012" s="9">
        <f t="shared" si="67"/>
        <v>226.05</v>
      </c>
      <c r="N1012" s="382">
        <v>0</v>
      </c>
      <c r="O1012" s="789">
        <f t="shared" si="69"/>
        <v>3</v>
      </c>
      <c r="P1012" s="863">
        <f t="shared" si="68"/>
        <v>678.15</v>
      </c>
      <c r="Q1012" s="873"/>
      <c r="R1012" s="873"/>
      <c r="S1012" s="840"/>
      <c r="T1012" s="853"/>
    </row>
    <row r="1013" spans="1:20" s="318" customFormat="1">
      <c r="A1013" s="915"/>
      <c r="B1013" s="919"/>
      <c r="C1013" s="913"/>
      <c r="D1013" s="126"/>
      <c r="E1013" s="807"/>
      <c r="F1013" s="226"/>
      <c r="G1013" s="116"/>
      <c r="H1013" s="119"/>
      <c r="I1013" s="121"/>
      <c r="J1013" s="120"/>
      <c r="K1013" s="120"/>
      <c r="L1013" s="120"/>
      <c r="M1013" s="9"/>
      <c r="N1013" s="382"/>
      <c r="O1013" s="789"/>
      <c r="P1013" s="863"/>
      <c r="Q1013" s="874"/>
      <c r="R1013" s="874"/>
      <c r="S1013" s="841"/>
      <c r="T1013" s="854"/>
    </row>
    <row r="1014" spans="1:20" s="318" customFormat="1">
      <c r="A1014" s="915"/>
      <c r="B1014" s="919"/>
      <c r="C1014" s="913"/>
      <c r="D1014" s="126"/>
      <c r="E1014" s="807"/>
      <c r="F1014" s="226"/>
      <c r="G1014" s="116"/>
      <c r="H1014" s="119"/>
      <c r="I1014" s="121"/>
      <c r="J1014" s="120"/>
      <c r="K1014" s="120"/>
      <c r="L1014" s="120"/>
      <c r="M1014" s="9"/>
      <c r="N1014" s="382"/>
      <c r="O1014" s="789"/>
      <c r="P1014" s="863"/>
      <c r="Q1014" s="874"/>
      <c r="R1014" s="874"/>
      <c r="S1014" s="841"/>
      <c r="T1014" s="854"/>
    </row>
    <row r="1015" spans="1:20" s="610" customFormat="1">
      <c r="A1015" s="915"/>
      <c r="B1015" s="919" t="s">
        <v>2457</v>
      </c>
      <c r="C1015" s="913"/>
      <c r="D1015" s="126" t="s">
        <v>367</v>
      </c>
      <c r="E1015" s="807" t="s">
        <v>1380</v>
      </c>
      <c r="F1015" s="226"/>
      <c r="G1015" s="116" t="s">
        <v>1381</v>
      </c>
      <c r="H1015" s="119" t="s">
        <v>246</v>
      </c>
      <c r="I1015" s="121">
        <v>6</v>
      </c>
      <c r="J1015" s="120">
        <v>300</v>
      </c>
      <c r="K1015" s="9">
        <f t="shared" ref="K1015:K1024" si="71">J1015*$S$3</f>
        <v>393</v>
      </c>
      <c r="L1015" s="120">
        <v>16.8</v>
      </c>
      <c r="M1015" s="9">
        <f t="shared" si="67"/>
        <v>459.02</v>
      </c>
      <c r="N1015" s="382">
        <v>0</v>
      </c>
      <c r="O1015" s="789">
        <f t="shared" si="69"/>
        <v>6</v>
      </c>
      <c r="P1015" s="863">
        <f t="shared" si="68"/>
        <v>2754.12</v>
      </c>
      <c r="Q1015" s="873"/>
      <c r="R1015" s="873"/>
      <c r="S1015" s="840"/>
      <c r="T1015" s="853"/>
    </row>
    <row r="1016" spans="1:20" s="610" customFormat="1">
      <c r="A1016" s="915"/>
      <c r="B1016" s="919" t="s">
        <v>2457</v>
      </c>
      <c r="C1016" s="913"/>
      <c r="D1016" s="126" t="s">
        <v>365</v>
      </c>
      <c r="E1016" s="940" t="s">
        <v>1913</v>
      </c>
      <c r="F1016" s="941"/>
      <c r="G1016" s="116" t="s">
        <v>1379</v>
      </c>
      <c r="H1016" s="119" t="s">
        <v>246</v>
      </c>
      <c r="I1016" s="121">
        <v>2</v>
      </c>
      <c r="J1016" s="120">
        <v>181.43</v>
      </c>
      <c r="K1016" s="9">
        <f t="shared" si="71"/>
        <v>237.67330000000001</v>
      </c>
      <c r="L1016" s="120">
        <v>16.8</v>
      </c>
      <c r="M1016" s="9">
        <f t="shared" si="67"/>
        <v>277.60000000000002</v>
      </c>
      <c r="N1016" s="382">
        <v>0</v>
      </c>
      <c r="O1016" s="789">
        <f t="shared" si="69"/>
        <v>2</v>
      </c>
      <c r="P1016" s="863">
        <f t="shared" si="68"/>
        <v>555.20000000000005</v>
      </c>
      <c r="Q1016" s="873"/>
      <c r="R1016" s="873"/>
      <c r="S1016" s="840"/>
      <c r="T1016" s="853"/>
    </row>
    <row r="1017" spans="1:20" s="610" customFormat="1" ht="25.5">
      <c r="A1017" s="915"/>
      <c r="B1017" s="919" t="s">
        <v>2457</v>
      </c>
      <c r="C1017" s="913"/>
      <c r="D1017" s="126" t="s">
        <v>1045</v>
      </c>
      <c r="E1017" s="807" t="s">
        <v>1377</v>
      </c>
      <c r="F1017" s="226"/>
      <c r="G1017" s="116" t="s">
        <v>1378</v>
      </c>
      <c r="H1017" s="119" t="s">
        <v>246</v>
      </c>
      <c r="I1017" s="121">
        <v>3</v>
      </c>
      <c r="J1017" s="120">
        <v>293.3</v>
      </c>
      <c r="K1017" s="9">
        <f t="shared" si="71"/>
        <v>384.22300000000001</v>
      </c>
      <c r="L1017" s="120">
        <v>16.8</v>
      </c>
      <c r="M1017" s="9">
        <f t="shared" si="67"/>
        <v>448.77</v>
      </c>
      <c r="N1017" s="382">
        <v>0</v>
      </c>
      <c r="O1017" s="789">
        <f t="shared" si="69"/>
        <v>3</v>
      </c>
      <c r="P1017" s="863">
        <f t="shared" si="68"/>
        <v>1346.31</v>
      </c>
      <c r="Q1017" s="873"/>
      <c r="R1017" s="873"/>
      <c r="S1017" s="840"/>
      <c r="T1017" s="853"/>
    </row>
    <row r="1018" spans="1:20" s="610" customFormat="1" ht="25.5">
      <c r="A1018" s="915"/>
      <c r="B1018" s="919" t="s">
        <v>2457</v>
      </c>
      <c r="C1018" s="913"/>
      <c r="D1018" s="126" t="s">
        <v>1043</v>
      </c>
      <c r="E1018" s="807" t="s">
        <v>755</v>
      </c>
      <c r="F1018" s="226"/>
      <c r="G1018" s="116" t="s">
        <v>1376</v>
      </c>
      <c r="H1018" s="119" t="s">
        <v>246</v>
      </c>
      <c r="I1018" s="121">
        <v>3</v>
      </c>
      <c r="J1018" s="120">
        <v>252.72</v>
      </c>
      <c r="K1018" s="9">
        <f t="shared" si="71"/>
        <v>331.06319999999999</v>
      </c>
      <c r="L1018" s="120">
        <v>16.8</v>
      </c>
      <c r="M1018" s="9">
        <f t="shared" si="67"/>
        <v>386.68</v>
      </c>
      <c r="N1018" s="382">
        <v>0</v>
      </c>
      <c r="O1018" s="789">
        <f t="shared" si="69"/>
        <v>3</v>
      </c>
      <c r="P1018" s="863">
        <f t="shared" si="68"/>
        <v>1160.04</v>
      </c>
      <c r="Q1018" s="873"/>
      <c r="R1018" s="873"/>
      <c r="S1018" s="840"/>
      <c r="T1018" s="853"/>
    </row>
    <row r="1019" spans="1:20" s="610" customFormat="1" ht="25.5">
      <c r="A1019" s="915"/>
      <c r="B1019" s="919" t="s">
        <v>2457</v>
      </c>
      <c r="C1019" s="913"/>
      <c r="D1019" s="126" t="s">
        <v>1090</v>
      </c>
      <c r="E1019" s="807" t="s">
        <v>1374</v>
      </c>
      <c r="F1019" s="226"/>
      <c r="G1019" s="116" t="s">
        <v>1375</v>
      </c>
      <c r="H1019" s="119" t="s">
        <v>246</v>
      </c>
      <c r="I1019" s="121">
        <v>1</v>
      </c>
      <c r="J1019" s="120">
        <v>181.22</v>
      </c>
      <c r="K1019" s="9">
        <f t="shared" si="71"/>
        <v>237.3982</v>
      </c>
      <c r="L1019" s="120">
        <v>16.8</v>
      </c>
      <c r="M1019" s="9">
        <f t="shared" si="67"/>
        <v>277.27999999999997</v>
      </c>
      <c r="N1019" s="382">
        <v>0</v>
      </c>
      <c r="O1019" s="789">
        <f t="shared" si="69"/>
        <v>1</v>
      </c>
      <c r="P1019" s="863">
        <f t="shared" si="68"/>
        <v>277.27999999999997</v>
      </c>
      <c r="Q1019" s="873"/>
      <c r="R1019" s="873"/>
      <c r="S1019" s="840"/>
      <c r="T1019" s="853"/>
    </row>
    <row r="1020" spans="1:20" s="610" customFormat="1" ht="25.5">
      <c r="A1020" s="915"/>
      <c r="B1020" s="919" t="s">
        <v>2457</v>
      </c>
      <c r="C1020" s="913"/>
      <c r="D1020" s="126" t="s">
        <v>1087</v>
      </c>
      <c r="E1020" s="940" t="s">
        <v>1456</v>
      </c>
      <c r="F1020" s="941"/>
      <c r="G1020" s="116" t="s">
        <v>1373</v>
      </c>
      <c r="H1020" s="119" t="s">
        <v>246</v>
      </c>
      <c r="I1020" s="121">
        <v>1</v>
      </c>
      <c r="J1020" s="120">
        <v>127.25</v>
      </c>
      <c r="K1020" s="9">
        <f t="shared" si="71"/>
        <v>166.69750000000002</v>
      </c>
      <c r="L1020" s="120">
        <v>16.8</v>
      </c>
      <c r="M1020" s="9">
        <f t="shared" si="67"/>
        <v>194.7</v>
      </c>
      <c r="N1020" s="382">
        <v>0</v>
      </c>
      <c r="O1020" s="789">
        <f t="shared" si="69"/>
        <v>1</v>
      </c>
      <c r="P1020" s="863">
        <f t="shared" si="68"/>
        <v>194.7</v>
      </c>
      <c r="Q1020" s="873"/>
      <c r="R1020" s="873"/>
      <c r="S1020" s="840"/>
      <c r="T1020" s="853"/>
    </row>
    <row r="1021" spans="1:20" s="610" customFormat="1" ht="25.5">
      <c r="A1021" s="915"/>
      <c r="B1021" s="919" t="s">
        <v>2457</v>
      </c>
      <c r="C1021" s="913"/>
      <c r="D1021" s="126" t="s">
        <v>1168</v>
      </c>
      <c r="E1021" s="807" t="s">
        <v>1200</v>
      </c>
      <c r="F1021" s="226"/>
      <c r="G1021" s="116" t="s">
        <v>1372</v>
      </c>
      <c r="H1021" s="119" t="s">
        <v>326</v>
      </c>
      <c r="I1021" s="121">
        <v>6</v>
      </c>
      <c r="J1021" s="120">
        <v>58.27</v>
      </c>
      <c r="K1021" s="9">
        <f t="shared" si="71"/>
        <v>76.333700000000007</v>
      </c>
      <c r="L1021" s="120">
        <v>16.8</v>
      </c>
      <c r="M1021" s="9">
        <f t="shared" si="67"/>
        <v>89.16</v>
      </c>
      <c r="N1021" s="382">
        <v>0</v>
      </c>
      <c r="O1021" s="789">
        <f t="shared" si="69"/>
        <v>6</v>
      </c>
      <c r="P1021" s="863">
        <f t="shared" si="68"/>
        <v>534.96</v>
      </c>
      <c r="Q1021" s="873"/>
      <c r="R1021" s="873"/>
      <c r="S1021" s="840"/>
      <c r="T1021" s="853"/>
    </row>
    <row r="1022" spans="1:20" s="610" customFormat="1" ht="25.5">
      <c r="A1022" s="915"/>
      <c r="B1022" s="919" t="s">
        <v>2457</v>
      </c>
      <c r="C1022" s="913"/>
      <c r="D1022" s="126" t="s">
        <v>1371</v>
      </c>
      <c r="E1022" s="807" t="s">
        <v>581</v>
      </c>
      <c r="F1022" s="226"/>
      <c r="G1022" s="116" t="s">
        <v>1370</v>
      </c>
      <c r="H1022" s="119" t="s">
        <v>326</v>
      </c>
      <c r="I1022" s="121">
        <v>30</v>
      </c>
      <c r="J1022" s="120">
        <v>59.55</v>
      </c>
      <c r="K1022" s="9">
        <f t="shared" si="71"/>
        <v>78.010499999999993</v>
      </c>
      <c r="L1022" s="120">
        <v>16.8</v>
      </c>
      <c r="M1022" s="9">
        <f t="shared" si="67"/>
        <v>91.12</v>
      </c>
      <c r="N1022" s="382">
        <v>0</v>
      </c>
      <c r="O1022" s="789">
        <f t="shared" si="69"/>
        <v>30</v>
      </c>
      <c r="P1022" s="863">
        <f t="shared" si="68"/>
        <v>2733.6</v>
      </c>
      <c r="Q1022" s="873"/>
      <c r="R1022" s="873"/>
      <c r="S1022" s="840"/>
      <c r="T1022" s="853"/>
    </row>
    <row r="1023" spans="1:20" s="610" customFormat="1" ht="25.5">
      <c r="A1023" s="915"/>
      <c r="B1023" s="919" t="s">
        <v>2457</v>
      </c>
      <c r="C1023" s="913"/>
      <c r="D1023" s="126" t="s">
        <v>1369</v>
      </c>
      <c r="E1023" s="807" t="s">
        <v>578</v>
      </c>
      <c r="F1023" s="226"/>
      <c r="G1023" s="116" t="s">
        <v>1368</v>
      </c>
      <c r="H1023" s="119" t="s">
        <v>326</v>
      </c>
      <c r="I1023" s="121">
        <v>11</v>
      </c>
      <c r="J1023" s="120">
        <v>95.24</v>
      </c>
      <c r="K1023" s="9">
        <f t="shared" si="71"/>
        <v>124.76439999999999</v>
      </c>
      <c r="L1023" s="120">
        <v>16.8</v>
      </c>
      <c r="M1023" s="9">
        <f t="shared" si="67"/>
        <v>145.72</v>
      </c>
      <c r="N1023" s="382">
        <v>0</v>
      </c>
      <c r="O1023" s="789">
        <f t="shared" si="69"/>
        <v>11</v>
      </c>
      <c r="P1023" s="863">
        <f t="shared" si="68"/>
        <v>1602.92</v>
      </c>
      <c r="Q1023" s="873"/>
      <c r="R1023" s="873"/>
      <c r="S1023" s="840"/>
      <c r="T1023" s="853"/>
    </row>
    <row r="1024" spans="1:20" s="610" customFormat="1">
      <c r="A1024" s="915"/>
      <c r="B1024" s="919" t="s">
        <v>2457</v>
      </c>
      <c r="C1024" s="913"/>
      <c r="D1024" s="126" t="s">
        <v>1367</v>
      </c>
      <c r="E1024" s="807" t="s">
        <v>1365</v>
      </c>
      <c r="F1024" s="226"/>
      <c r="G1024" s="116" t="s">
        <v>1366</v>
      </c>
      <c r="H1024" s="119" t="s">
        <v>326</v>
      </c>
      <c r="I1024" s="121">
        <v>2</v>
      </c>
      <c r="J1024" s="120">
        <v>97.02</v>
      </c>
      <c r="K1024" s="9">
        <f t="shared" si="71"/>
        <v>127.0962</v>
      </c>
      <c r="L1024" s="120">
        <v>16.8</v>
      </c>
      <c r="M1024" s="9">
        <f t="shared" si="67"/>
        <v>148.44999999999999</v>
      </c>
      <c r="N1024" s="382">
        <v>0</v>
      </c>
      <c r="O1024" s="789">
        <f t="shared" si="69"/>
        <v>2</v>
      </c>
      <c r="P1024" s="863">
        <f t="shared" si="68"/>
        <v>296.89999999999998</v>
      </c>
      <c r="Q1024" s="873"/>
      <c r="R1024" s="873"/>
      <c r="S1024" s="840"/>
      <c r="T1024" s="853"/>
    </row>
    <row r="1025" spans="1:20" s="318" customFormat="1">
      <c r="A1025" s="915"/>
      <c r="B1025" s="919"/>
      <c r="C1025" s="913"/>
      <c r="D1025" s="126" t="s">
        <v>15</v>
      </c>
      <c r="E1025" s="807"/>
      <c r="F1025" s="226"/>
      <c r="G1025" s="116" t="s">
        <v>460</v>
      </c>
      <c r="H1025" s="227"/>
      <c r="I1025" s="228"/>
      <c r="J1025" s="356"/>
      <c r="K1025" s="356"/>
      <c r="L1025" s="120"/>
      <c r="M1025" s="9"/>
      <c r="N1025" s="382"/>
      <c r="O1025" s="789"/>
      <c r="P1025" s="863"/>
      <c r="Q1025" s="874"/>
      <c r="R1025" s="874"/>
      <c r="S1025" s="841"/>
      <c r="T1025" s="854"/>
    </row>
    <row r="1026" spans="1:20" s="610" customFormat="1">
      <c r="A1026" s="915"/>
      <c r="B1026" s="919" t="s">
        <v>2457</v>
      </c>
      <c r="C1026" s="913"/>
      <c r="D1026" s="126" t="s">
        <v>265</v>
      </c>
      <c r="E1026" s="807" t="s">
        <v>1364</v>
      </c>
      <c r="F1026" s="226"/>
      <c r="G1026" s="116" t="s">
        <v>1363</v>
      </c>
      <c r="H1026" s="119" t="s">
        <v>71</v>
      </c>
      <c r="I1026" s="121">
        <v>7.89</v>
      </c>
      <c r="J1026" s="120">
        <v>609.08000000000004</v>
      </c>
      <c r="K1026" s="9">
        <f>J1026*$S$3</f>
        <v>797.89480000000003</v>
      </c>
      <c r="L1026" s="120">
        <v>16.8</v>
      </c>
      <c r="M1026" s="9">
        <f t="shared" si="67"/>
        <v>931.94</v>
      </c>
      <c r="N1026" s="382">
        <v>0</v>
      </c>
      <c r="O1026" s="789">
        <f t="shared" si="69"/>
        <v>7.89</v>
      </c>
      <c r="P1026" s="863">
        <f t="shared" si="68"/>
        <v>7353.01</v>
      </c>
      <c r="Q1026" s="873"/>
      <c r="R1026" s="873"/>
      <c r="S1026" s="840"/>
      <c r="T1026" s="853"/>
    </row>
    <row r="1027" spans="1:20" s="610" customFormat="1">
      <c r="A1027" s="915"/>
      <c r="B1027" s="919" t="s">
        <v>2457</v>
      </c>
      <c r="C1027" s="913"/>
      <c r="D1027" s="126" t="s">
        <v>263</v>
      </c>
      <c r="E1027" s="807" t="str">
        <f>E1026</f>
        <v>COT-H-341</v>
      </c>
      <c r="F1027" s="226"/>
      <c r="G1027" s="116" t="s">
        <v>1363</v>
      </c>
      <c r="H1027" s="119" t="s">
        <v>71</v>
      </c>
      <c r="I1027" s="121">
        <f>ROUND(0.3*0.3,2)</f>
        <v>0.09</v>
      </c>
      <c r="J1027" s="120">
        <f>J1026</f>
        <v>609.08000000000004</v>
      </c>
      <c r="K1027" s="9">
        <f>J1027*$S$3</f>
        <v>797.89480000000003</v>
      </c>
      <c r="L1027" s="120">
        <v>16.8</v>
      </c>
      <c r="M1027" s="9">
        <f t="shared" si="67"/>
        <v>931.94</v>
      </c>
      <c r="N1027" s="382">
        <v>0</v>
      </c>
      <c r="O1027" s="789">
        <f t="shared" si="69"/>
        <v>0.09</v>
      </c>
      <c r="P1027" s="863">
        <f t="shared" si="68"/>
        <v>83.87</v>
      </c>
      <c r="Q1027" s="873"/>
      <c r="R1027" s="873"/>
      <c r="S1027" s="840"/>
      <c r="T1027" s="853"/>
    </row>
    <row r="1028" spans="1:20" s="318" customFormat="1">
      <c r="A1028" s="915"/>
      <c r="B1028" s="919"/>
      <c r="C1028" s="913"/>
      <c r="D1028" s="126" t="s">
        <v>14</v>
      </c>
      <c r="E1028" s="127"/>
      <c r="F1028" s="123"/>
      <c r="G1028" s="116" t="s">
        <v>1205</v>
      </c>
      <c r="H1028" s="261"/>
      <c r="I1028" s="222"/>
      <c r="J1028" s="125"/>
      <c r="K1028" s="125"/>
      <c r="L1028" s="125"/>
      <c r="M1028" s="9"/>
      <c r="N1028" s="382"/>
      <c r="O1028" s="789"/>
      <c r="P1028" s="863"/>
      <c r="Q1028" s="874"/>
      <c r="R1028" s="874"/>
      <c r="S1028" s="841"/>
      <c r="T1028" s="854"/>
    </row>
    <row r="1029" spans="1:20" s="610" customFormat="1" ht="25.5">
      <c r="A1029" s="915"/>
      <c r="B1029" s="919" t="s">
        <v>2457</v>
      </c>
      <c r="C1029" s="913"/>
      <c r="D1029" s="126" t="s">
        <v>181</v>
      </c>
      <c r="E1029" s="807" t="s">
        <v>1361</v>
      </c>
      <c r="F1029" s="226"/>
      <c r="G1029" s="116" t="s">
        <v>1362</v>
      </c>
      <c r="H1029" s="119" t="s">
        <v>246</v>
      </c>
      <c r="I1029" s="121">
        <v>12</v>
      </c>
      <c r="J1029" s="120">
        <v>136.29999999999998</v>
      </c>
      <c r="K1029" s="9">
        <f>J1029*$S$3</f>
        <v>178.553</v>
      </c>
      <c r="L1029" s="120">
        <v>16.8</v>
      </c>
      <c r="M1029" s="9">
        <f t="shared" si="67"/>
        <v>208.55</v>
      </c>
      <c r="N1029" s="382">
        <v>0</v>
      </c>
      <c r="O1029" s="789">
        <f t="shared" si="69"/>
        <v>12</v>
      </c>
      <c r="P1029" s="863">
        <f t="shared" si="68"/>
        <v>2502.6</v>
      </c>
      <c r="Q1029" s="873"/>
      <c r="R1029" s="873"/>
      <c r="S1029" s="840"/>
      <c r="T1029" s="853"/>
    </row>
    <row r="1030" spans="1:20" s="610" customFormat="1" ht="25.5">
      <c r="A1030" s="915"/>
      <c r="B1030" s="919" t="s">
        <v>2457</v>
      </c>
      <c r="C1030" s="913"/>
      <c r="D1030" s="126" t="s">
        <v>180</v>
      </c>
      <c r="E1030" s="823" t="s">
        <v>1359</v>
      </c>
      <c r="F1030" s="229"/>
      <c r="G1030" s="116" t="s">
        <v>1360</v>
      </c>
      <c r="H1030" s="119" t="s">
        <v>326</v>
      </c>
      <c r="I1030" s="121">
        <v>1</v>
      </c>
      <c r="J1030" s="120">
        <v>731.18</v>
      </c>
      <c r="K1030" s="9">
        <f>J1030*$S$3</f>
        <v>957.84579999999994</v>
      </c>
      <c r="L1030" s="120">
        <v>16.8</v>
      </c>
      <c r="M1030" s="9">
        <f t="shared" si="67"/>
        <v>1118.76</v>
      </c>
      <c r="N1030" s="382">
        <v>0</v>
      </c>
      <c r="O1030" s="789">
        <f t="shared" si="69"/>
        <v>1</v>
      </c>
      <c r="P1030" s="863">
        <f t="shared" si="68"/>
        <v>1118.76</v>
      </c>
      <c r="Q1030" s="873"/>
      <c r="R1030" s="873"/>
      <c r="S1030" s="840"/>
      <c r="T1030" s="853"/>
    </row>
    <row r="1031" spans="1:20">
      <c r="D1031" s="126"/>
      <c r="E1031" s="807"/>
      <c r="F1031" s="226"/>
      <c r="G1031" s="116"/>
      <c r="H1031" s="146"/>
      <c r="I1031" s="121"/>
      <c r="J1031" s="120"/>
      <c r="K1031" s="120"/>
      <c r="L1031" s="120"/>
      <c r="M1031" s="9"/>
      <c r="N1031" s="375"/>
      <c r="O1031" s="789"/>
      <c r="P1031" s="863"/>
      <c r="Q1031" s="874"/>
      <c r="R1031" s="874"/>
      <c r="S1031" s="841"/>
      <c r="T1031" s="854"/>
    </row>
    <row r="1032" spans="1:20">
      <c r="D1032" s="230"/>
      <c r="E1032" s="127"/>
      <c r="F1032" s="123"/>
      <c r="G1032" s="127"/>
      <c r="H1032" s="221"/>
      <c r="I1032" s="222"/>
      <c r="J1032" s="125"/>
      <c r="K1032" s="125"/>
      <c r="L1032" s="125"/>
      <c r="M1032" s="9"/>
      <c r="N1032" s="380"/>
      <c r="O1032" s="789"/>
      <c r="P1032" s="863"/>
      <c r="Q1032" s="874"/>
      <c r="R1032" s="874"/>
      <c r="S1032" s="841"/>
      <c r="T1032" s="854"/>
    </row>
    <row r="1033" spans="1:20" s="299" customFormat="1">
      <c r="A1033" s="918"/>
      <c r="B1033" s="922"/>
      <c r="C1033" s="924"/>
      <c r="D1033" s="338"/>
      <c r="E1033" s="340"/>
      <c r="F1033" s="338"/>
      <c r="G1033" s="340" t="s">
        <v>70</v>
      </c>
      <c r="H1033" s="338" t="str">
        <f>D989</f>
        <v>25.2</v>
      </c>
      <c r="I1033" s="338"/>
      <c r="J1033" s="338"/>
      <c r="K1033" s="338"/>
      <c r="L1033" s="338"/>
      <c r="M1033" s="9"/>
      <c r="N1033" s="381"/>
      <c r="O1033" s="789"/>
      <c r="P1033" s="863">
        <f>SUM(P995:P1030)</f>
        <v>91143.469999999972</v>
      </c>
      <c r="Q1033" s="874"/>
      <c r="R1033" s="874"/>
      <c r="S1033" s="841"/>
      <c r="T1033" s="854"/>
    </row>
    <row r="1034" spans="1:20">
      <c r="D1034" s="44"/>
      <c r="E1034" s="296"/>
      <c r="F1034" s="44"/>
      <c r="G1034" s="44"/>
      <c r="H1034" s="44"/>
      <c r="I1034" s="44"/>
      <c r="J1034" s="302"/>
      <c r="K1034" s="302"/>
      <c r="L1034" s="44"/>
      <c r="M1034" s="9"/>
      <c r="N1034" s="375"/>
      <c r="O1034" s="789"/>
      <c r="P1034" s="863"/>
      <c r="Q1034" s="874"/>
      <c r="R1034" s="874"/>
      <c r="S1034" s="841"/>
      <c r="T1034" s="854"/>
    </row>
    <row r="1035" spans="1:20" s="310" customFormat="1" ht="25.5">
      <c r="A1035" s="915"/>
      <c r="B1035" s="919"/>
      <c r="C1035" s="913"/>
      <c r="D1035" s="108" t="s">
        <v>35</v>
      </c>
      <c r="E1035" s="813"/>
      <c r="F1035" s="109"/>
      <c r="G1035" s="305" t="s">
        <v>2011</v>
      </c>
      <c r="H1035" s="109"/>
      <c r="I1035" s="109"/>
      <c r="J1035" s="109"/>
      <c r="K1035" s="109"/>
      <c r="L1035" s="109"/>
      <c r="M1035" s="791"/>
      <c r="N1035" s="378"/>
      <c r="O1035" s="792"/>
      <c r="P1035" s="864"/>
      <c r="Q1035" s="872"/>
      <c r="R1035" s="872"/>
      <c r="S1035" s="842"/>
      <c r="T1035" s="852"/>
    </row>
    <row r="1036" spans="1:20">
      <c r="D1036" s="44"/>
      <c r="E1036" s="296"/>
      <c r="F1036" s="44"/>
      <c r="G1036" s="44"/>
      <c r="H1036" s="44"/>
      <c r="I1036" s="44"/>
      <c r="J1036" s="302"/>
      <c r="K1036" s="302"/>
      <c r="L1036" s="44"/>
      <c r="M1036" s="9"/>
      <c r="N1036" s="375"/>
      <c r="O1036" s="789"/>
      <c r="P1036" s="863"/>
      <c r="Q1036" s="874"/>
      <c r="R1036" s="874"/>
      <c r="S1036" s="841"/>
      <c r="T1036" s="854"/>
    </row>
    <row r="1037" spans="1:20" ht="25.5">
      <c r="D1037" s="45"/>
      <c r="E1037" s="57"/>
      <c r="F1037" s="50"/>
      <c r="G1037" s="46" t="s">
        <v>1439</v>
      </c>
      <c r="H1037" s="47"/>
      <c r="I1037" s="48"/>
      <c r="J1037" s="9"/>
      <c r="K1037" s="9"/>
      <c r="L1037" s="9"/>
      <c r="M1037" s="9"/>
      <c r="N1037" s="375"/>
      <c r="O1037" s="789"/>
      <c r="P1037" s="863"/>
      <c r="Q1037" s="874"/>
      <c r="R1037" s="874"/>
      <c r="S1037" s="841"/>
      <c r="T1037" s="854"/>
    </row>
    <row r="1038" spans="1:20">
      <c r="D1038" s="45"/>
      <c r="E1038" s="57"/>
      <c r="F1038" s="50"/>
      <c r="G1038" s="46"/>
      <c r="H1038" s="47"/>
      <c r="I1038" s="48"/>
      <c r="J1038" s="9"/>
      <c r="K1038" s="9"/>
      <c r="L1038" s="9"/>
      <c r="M1038" s="9"/>
      <c r="N1038" s="375"/>
      <c r="O1038" s="789"/>
      <c r="P1038" s="863"/>
      <c r="Q1038" s="874"/>
      <c r="R1038" s="874"/>
      <c r="S1038" s="841"/>
      <c r="T1038" s="854"/>
    </row>
    <row r="1039" spans="1:20">
      <c r="D1039" s="45">
        <v>1</v>
      </c>
      <c r="E1039" s="57"/>
      <c r="F1039" s="50"/>
      <c r="G1039" s="46" t="s">
        <v>1438</v>
      </c>
      <c r="H1039" s="47"/>
      <c r="I1039" s="48"/>
      <c r="J1039" s="9"/>
      <c r="K1039" s="9"/>
      <c r="L1039" s="9"/>
      <c r="M1039" s="9"/>
      <c r="N1039" s="375"/>
      <c r="O1039" s="789"/>
      <c r="P1039" s="863"/>
      <c r="Q1039" s="874"/>
      <c r="R1039" s="874"/>
      <c r="S1039" s="841"/>
      <c r="T1039" s="854"/>
    </row>
    <row r="1040" spans="1:20">
      <c r="D1040" s="49" t="s">
        <v>20</v>
      </c>
      <c r="E1040" s="349"/>
      <c r="F1040" s="16"/>
      <c r="G1040" s="12" t="s">
        <v>789</v>
      </c>
      <c r="H1040" s="12"/>
      <c r="I1040" s="27"/>
      <c r="J1040" s="9"/>
      <c r="K1040" s="9"/>
      <c r="L1040" s="9"/>
      <c r="M1040" s="9"/>
      <c r="N1040" s="375"/>
      <c r="O1040" s="789"/>
      <c r="P1040" s="863"/>
      <c r="Q1040" s="874"/>
      <c r="R1040" s="874"/>
      <c r="S1040" s="841"/>
      <c r="T1040" s="854"/>
    </row>
    <row r="1041" spans="1:20" s="610" customFormat="1" ht="30.75" customHeight="1">
      <c r="A1041" s="915"/>
      <c r="B1041" s="919"/>
      <c r="C1041" s="913" t="s">
        <v>2455</v>
      </c>
      <c r="D1041" s="49" t="s">
        <v>153</v>
      </c>
      <c r="E1041" s="57" t="s">
        <v>1436</v>
      </c>
      <c r="F1041" s="50"/>
      <c r="G1041" s="12" t="s">
        <v>1437</v>
      </c>
      <c r="H1041" s="18" t="s">
        <v>183</v>
      </c>
      <c r="I1041" s="36">
        <v>1</v>
      </c>
      <c r="J1041" s="9">
        <v>14674.52</v>
      </c>
      <c r="K1041" s="9">
        <f t="shared" ref="K1041:K1046" si="72">J1041*$S$3</f>
        <v>19223.621200000001</v>
      </c>
      <c r="L1041" s="9">
        <v>16.8</v>
      </c>
      <c r="M1041" s="9">
        <f t="shared" ref="M1041:M1103" si="73">ROUND(K1041*(L1041/100+1),2)</f>
        <v>22453.19</v>
      </c>
      <c r="N1041" s="382">
        <v>0</v>
      </c>
      <c r="O1041" s="789">
        <f t="shared" si="69"/>
        <v>1</v>
      </c>
      <c r="P1041" s="863">
        <f t="shared" ref="P1041:P1103" si="74">ROUND(O1041*M1041,2)</f>
        <v>22453.19</v>
      </c>
      <c r="Q1041" s="873"/>
      <c r="R1041" s="873"/>
      <c r="S1041" s="840"/>
      <c r="T1041" s="853"/>
    </row>
    <row r="1042" spans="1:20" s="610" customFormat="1" ht="38.25">
      <c r="A1042" s="915"/>
      <c r="B1042" s="919"/>
      <c r="C1042" s="913" t="s">
        <v>2455</v>
      </c>
      <c r="D1042" s="49" t="s">
        <v>151</v>
      </c>
      <c r="E1042" s="57" t="s">
        <v>1434</v>
      </c>
      <c r="F1042" s="50"/>
      <c r="G1042" s="12" t="s">
        <v>1435</v>
      </c>
      <c r="H1042" s="7" t="s">
        <v>183</v>
      </c>
      <c r="I1042" s="27">
        <v>1</v>
      </c>
      <c r="J1042" s="9">
        <v>42838</v>
      </c>
      <c r="K1042" s="9">
        <f t="shared" si="72"/>
        <v>56117.78</v>
      </c>
      <c r="L1042" s="9">
        <v>16.8</v>
      </c>
      <c r="M1042" s="9">
        <f t="shared" si="73"/>
        <v>65545.570000000007</v>
      </c>
      <c r="N1042" s="382">
        <v>0</v>
      </c>
      <c r="O1042" s="789">
        <f t="shared" si="69"/>
        <v>1</v>
      </c>
      <c r="P1042" s="863">
        <f t="shared" si="74"/>
        <v>65545.570000000007</v>
      </c>
      <c r="Q1042" s="873"/>
      <c r="R1042" s="873"/>
      <c r="S1042" s="840"/>
      <c r="T1042" s="853"/>
    </row>
    <row r="1043" spans="1:20" s="610" customFormat="1" ht="51">
      <c r="A1043" s="915"/>
      <c r="B1043" s="919"/>
      <c r="C1043" s="913" t="s">
        <v>2455</v>
      </c>
      <c r="D1043" s="49" t="s">
        <v>149</v>
      </c>
      <c r="E1043" s="57" t="s">
        <v>1432</v>
      </c>
      <c r="F1043" s="50"/>
      <c r="G1043" s="12" t="s">
        <v>1433</v>
      </c>
      <c r="H1043" s="18" t="s">
        <v>183</v>
      </c>
      <c r="I1043" s="36">
        <v>1</v>
      </c>
      <c r="J1043" s="9">
        <v>40676.9</v>
      </c>
      <c r="K1043" s="9">
        <f t="shared" si="72"/>
        <v>53286.739000000001</v>
      </c>
      <c r="L1043" s="9">
        <v>16.8</v>
      </c>
      <c r="M1043" s="9">
        <f t="shared" si="73"/>
        <v>62238.91</v>
      </c>
      <c r="N1043" s="382">
        <v>0</v>
      </c>
      <c r="O1043" s="789">
        <f t="shared" si="69"/>
        <v>1</v>
      </c>
      <c r="P1043" s="863">
        <f t="shared" si="74"/>
        <v>62238.91</v>
      </c>
      <c r="Q1043" s="873"/>
      <c r="R1043" s="873"/>
      <c r="S1043" s="840"/>
      <c r="T1043" s="853"/>
    </row>
    <row r="1044" spans="1:20" s="610" customFormat="1" ht="51">
      <c r="A1044" s="915"/>
      <c r="B1044" s="919"/>
      <c r="C1044" s="913" t="s">
        <v>2455</v>
      </c>
      <c r="D1044" s="49" t="s">
        <v>240</v>
      </c>
      <c r="E1044" s="57" t="s">
        <v>1430</v>
      </c>
      <c r="F1044" s="50"/>
      <c r="G1044" s="12" t="s">
        <v>1431</v>
      </c>
      <c r="H1044" s="18" t="s">
        <v>183</v>
      </c>
      <c r="I1044" s="36">
        <v>1</v>
      </c>
      <c r="J1044" s="9">
        <v>27714.09</v>
      </c>
      <c r="K1044" s="9">
        <f t="shared" si="72"/>
        <v>36305.457900000001</v>
      </c>
      <c r="L1044" s="9">
        <v>16.8</v>
      </c>
      <c r="M1044" s="9">
        <f t="shared" si="73"/>
        <v>42404.77</v>
      </c>
      <c r="N1044" s="382">
        <v>0</v>
      </c>
      <c r="O1044" s="789">
        <f t="shared" si="69"/>
        <v>1</v>
      </c>
      <c r="P1044" s="863">
        <f t="shared" si="74"/>
        <v>42404.77</v>
      </c>
      <c r="Q1044" s="873"/>
      <c r="R1044" s="873"/>
      <c r="S1044" s="840"/>
      <c r="T1044" s="853"/>
    </row>
    <row r="1045" spans="1:20" s="610" customFormat="1" ht="38.25">
      <c r="A1045" s="915"/>
      <c r="B1045" s="919"/>
      <c r="C1045" s="913" t="s">
        <v>2455</v>
      </c>
      <c r="D1045" s="49" t="s">
        <v>237</v>
      </c>
      <c r="E1045" s="805" t="s">
        <v>1428</v>
      </c>
      <c r="F1045" s="195"/>
      <c r="G1045" s="12" t="s">
        <v>1429</v>
      </c>
      <c r="H1045" s="7" t="s">
        <v>326</v>
      </c>
      <c r="I1045" s="27">
        <v>1</v>
      </c>
      <c r="J1045" s="9">
        <v>7325.1</v>
      </c>
      <c r="K1045" s="9">
        <f t="shared" si="72"/>
        <v>9595.8810000000012</v>
      </c>
      <c r="L1045" s="9">
        <v>16.8</v>
      </c>
      <c r="M1045" s="9">
        <f t="shared" si="73"/>
        <v>11207.99</v>
      </c>
      <c r="N1045" s="382">
        <v>0</v>
      </c>
      <c r="O1045" s="789">
        <f t="shared" si="69"/>
        <v>1</v>
      </c>
      <c r="P1045" s="863">
        <f t="shared" si="74"/>
        <v>11207.99</v>
      </c>
      <c r="Q1045" s="873"/>
      <c r="R1045" s="873"/>
      <c r="S1045" s="840"/>
      <c r="T1045" s="853"/>
    </row>
    <row r="1046" spans="1:20" s="610" customFormat="1">
      <c r="A1046" s="915"/>
      <c r="B1046" s="919"/>
      <c r="C1046" s="913" t="s">
        <v>2455</v>
      </c>
      <c r="D1046" s="49" t="s">
        <v>234</v>
      </c>
      <c r="E1046" s="805" t="s">
        <v>1426</v>
      </c>
      <c r="F1046" s="195"/>
      <c r="G1046" s="12" t="s">
        <v>1427</v>
      </c>
      <c r="H1046" s="7" t="s">
        <v>326</v>
      </c>
      <c r="I1046" s="27">
        <v>1</v>
      </c>
      <c r="J1046" s="9">
        <v>1725</v>
      </c>
      <c r="K1046" s="9">
        <f t="shared" si="72"/>
        <v>2259.75</v>
      </c>
      <c r="L1046" s="9">
        <v>16.8</v>
      </c>
      <c r="M1046" s="9">
        <f t="shared" si="73"/>
        <v>2639.39</v>
      </c>
      <c r="N1046" s="382">
        <v>0</v>
      </c>
      <c r="O1046" s="789">
        <f t="shared" si="69"/>
        <v>1</v>
      </c>
      <c r="P1046" s="863">
        <f t="shared" si="74"/>
        <v>2639.39</v>
      </c>
      <c r="Q1046" s="873"/>
      <c r="R1046" s="873"/>
      <c r="S1046" s="840"/>
      <c r="T1046" s="853"/>
    </row>
    <row r="1047" spans="1:20" s="318" customFormat="1">
      <c r="A1047" s="915"/>
      <c r="B1047" s="919"/>
      <c r="C1047" s="913"/>
      <c r="D1047" s="49" t="s">
        <v>19</v>
      </c>
      <c r="E1047" s="57"/>
      <c r="F1047" s="50"/>
      <c r="G1047" s="12" t="s">
        <v>870</v>
      </c>
      <c r="H1047" s="12"/>
      <c r="I1047" s="27"/>
      <c r="J1047" s="9"/>
      <c r="K1047" s="9"/>
      <c r="L1047" s="9"/>
      <c r="M1047" s="9"/>
      <c r="N1047" s="382"/>
      <c r="O1047" s="789"/>
      <c r="P1047" s="863"/>
      <c r="Q1047" s="874"/>
      <c r="R1047" s="874"/>
      <c r="S1047" s="841"/>
      <c r="T1047" s="854"/>
    </row>
    <row r="1048" spans="1:20" s="610" customFormat="1" ht="38.25">
      <c r="A1048" s="915"/>
      <c r="B1048" s="919"/>
      <c r="C1048" s="913" t="s">
        <v>2455</v>
      </c>
      <c r="D1048" s="49" t="s">
        <v>147</v>
      </c>
      <c r="E1048" s="805" t="s">
        <v>868</v>
      </c>
      <c r="F1048" s="195"/>
      <c r="G1048" s="12" t="s">
        <v>1425</v>
      </c>
      <c r="H1048" s="7" t="s">
        <v>246</v>
      </c>
      <c r="I1048" s="27">
        <v>1</v>
      </c>
      <c r="J1048" s="9">
        <v>4500</v>
      </c>
      <c r="K1048" s="9">
        <f>J1048*$S$3</f>
        <v>5895</v>
      </c>
      <c r="L1048" s="9">
        <v>16.8</v>
      </c>
      <c r="M1048" s="9">
        <f t="shared" si="73"/>
        <v>6885.36</v>
      </c>
      <c r="N1048" s="382">
        <v>0</v>
      </c>
      <c r="O1048" s="789">
        <f t="shared" si="69"/>
        <v>1</v>
      </c>
      <c r="P1048" s="863">
        <f t="shared" si="74"/>
        <v>6885.36</v>
      </c>
      <c r="Q1048" s="873"/>
      <c r="R1048" s="873"/>
      <c r="S1048" s="840"/>
      <c r="T1048" s="853"/>
    </row>
    <row r="1049" spans="1:20" s="318" customFormat="1">
      <c r="A1049" s="915"/>
      <c r="B1049" s="919"/>
      <c r="C1049" s="913"/>
      <c r="D1049" s="49"/>
      <c r="E1049" s="805"/>
      <c r="F1049" s="195"/>
      <c r="G1049" s="12"/>
      <c r="H1049" s="7"/>
      <c r="I1049" s="27"/>
      <c r="J1049" s="9"/>
      <c r="K1049" s="9"/>
      <c r="L1049" s="9"/>
      <c r="M1049" s="9"/>
      <c r="N1049" s="382"/>
      <c r="O1049" s="789"/>
      <c r="P1049" s="863"/>
      <c r="Q1049" s="874"/>
      <c r="R1049" s="874"/>
      <c r="S1049" s="841"/>
      <c r="T1049" s="854"/>
    </row>
    <row r="1050" spans="1:20" s="318" customFormat="1">
      <c r="A1050" s="915"/>
      <c r="B1050" s="919"/>
      <c r="C1050" s="913"/>
      <c r="D1050" s="49"/>
      <c r="E1050" s="805"/>
      <c r="F1050" s="195"/>
      <c r="G1050" s="12"/>
      <c r="H1050" s="7"/>
      <c r="I1050" s="27"/>
      <c r="J1050" s="9"/>
      <c r="K1050" s="9"/>
      <c r="L1050" s="9"/>
      <c r="M1050" s="9"/>
      <c r="N1050" s="382"/>
      <c r="O1050" s="789"/>
      <c r="P1050" s="863"/>
      <c r="Q1050" s="874"/>
      <c r="R1050" s="874"/>
      <c r="S1050" s="841"/>
      <c r="T1050" s="854"/>
    </row>
    <row r="1051" spans="1:20" s="318" customFormat="1">
      <c r="A1051" s="915"/>
      <c r="B1051" s="919"/>
      <c r="C1051" s="913"/>
      <c r="D1051" s="49" t="s">
        <v>18</v>
      </c>
      <c r="E1051" s="57"/>
      <c r="F1051" s="50"/>
      <c r="G1051" s="12" t="s">
        <v>182</v>
      </c>
      <c r="H1051" s="7"/>
      <c r="I1051" s="27"/>
      <c r="J1051" s="9"/>
      <c r="K1051" s="9"/>
      <c r="L1051" s="9"/>
      <c r="M1051" s="9"/>
      <c r="N1051" s="382"/>
      <c r="O1051" s="789"/>
      <c r="P1051" s="863"/>
      <c r="Q1051" s="874"/>
      <c r="R1051" s="874"/>
      <c r="S1051" s="841"/>
      <c r="T1051" s="854"/>
    </row>
    <row r="1052" spans="1:20" s="610" customFormat="1" ht="51">
      <c r="A1052" s="915"/>
      <c r="B1052" s="919"/>
      <c r="C1052" s="913" t="s">
        <v>2455</v>
      </c>
      <c r="D1052" s="49" t="s">
        <v>201</v>
      </c>
      <c r="E1052" s="57" t="s">
        <v>229</v>
      </c>
      <c r="F1052" s="50"/>
      <c r="G1052" s="12" t="s">
        <v>1424</v>
      </c>
      <c r="H1052" s="7" t="s">
        <v>110</v>
      </c>
      <c r="I1052" s="27">
        <v>60</v>
      </c>
      <c r="J1052" s="9">
        <v>4.26</v>
      </c>
      <c r="K1052" s="9">
        <f>J1052*$S$3</f>
        <v>5.5805999999999996</v>
      </c>
      <c r="L1052" s="9">
        <v>16.8</v>
      </c>
      <c r="M1052" s="9">
        <f t="shared" si="73"/>
        <v>6.52</v>
      </c>
      <c r="N1052" s="382">
        <v>0</v>
      </c>
      <c r="O1052" s="789">
        <f t="shared" si="69"/>
        <v>60</v>
      </c>
      <c r="P1052" s="863">
        <f t="shared" si="74"/>
        <v>391.2</v>
      </c>
      <c r="Q1052" s="873"/>
      <c r="R1052" s="873"/>
      <c r="S1052" s="840"/>
      <c r="T1052" s="853"/>
    </row>
    <row r="1053" spans="1:20" s="610" customFormat="1" ht="51">
      <c r="A1053" s="915"/>
      <c r="B1053" s="919"/>
      <c r="C1053" s="913" t="s">
        <v>2455</v>
      </c>
      <c r="D1053" s="49" t="s">
        <v>198</v>
      </c>
      <c r="E1053" s="57" t="s">
        <v>226</v>
      </c>
      <c r="F1053" s="50"/>
      <c r="G1053" s="12" t="s">
        <v>227</v>
      </c>
      <c r="H1053" s="12" t="s">
        <v>110</v>
      </c>
      <c r="I1053" s="27">
        <v>20</v>
      </c>
      <c r="J1053" s="9">
        <v>16.04</v>
      </c>
      <c r="K1053" s="9">
        <f>J1053*$S$3</f>
        <v>21.0124</v>
      </c>
      <c r="L1053" s="9">
        <v>16.8</v>
      </c>
      <c r="M1053" s="9">
        <f t="shared" si="73"/>
        <v>24.54</v>
      </c>
      <c r="N1053" s="382">
        <v>0</v>
      </c>
      <c r="O1053" s="789">
        <f t="shared" si="69"/>
        <v>20</v>
      </c>
      <c r="P1053" s="863">
        <f t="shared" si="74"/>
        <v>490.8</v>
      </c>
      <c r="Q1053" s="873"/>
      <c r="R1053" s="873"/>
      <c r="S1053" s="840"/>
      <c r="T1053" s="853"/>
    </row>
    <row r="1054" spans="1:20" s="610" customFormat="1" ht="38.25">
      <c r="A1054" s="915"/>
      <c r="B1054" s="919"/>
      <c r="C1054" s="913" t="s">
        <v>2455</v>
      </c>
      <c r="D1054" s="49" t="s">
        <v>390</v>
      </c>
      <c r="E1054" s="57" t="s">
        <v>1422</v>
      </c>
      <c r="F1054" s="50"/>
      <c r="G1054" s="12" t="s">
        <v>1423</v>
      </c>
      <c r="H1054" s="18" t="s">
        <v>110</v>
      </c>
      <c r="I1054" s="36">
        <v>75</v>
      </c>
      <c r="J1054" s="9">
        <v>7.85</v>
      </c>
      <c r="K1054" s="9">
        <f>J1054*$S$3</f>
        <v>10.2835</v>
      </c>
      <c r="L1054" s="9">
        <v>16.8</v>
      </c>
      <c r="M1054" s="9">
        <f t="shared" si="73"/>
        <v>12.01</v>
      </c>
      <c r="N1054" s="382">
        <v>0</v>
      </c>
      <c r="O1054" s="789">
        <f t="shared" si="69"/>
        <v>75</v>
      </c>
      <c r="P1054" s="863">
        <f t="shared" si="74"/>
        <v>900.75</v>
      </c>
      <c r="Q1054" s="873"/>
      <c r="R1054" s="873"/>
      <c r="S1054" s="840"/>
      <c r="T1054" s="853"/>
    </row>
    <row r="1055" spans="1:20" s="318" customFormat="1">
      <c r="A1055" s="915"/>
      <c r="B1055" s="919"/>
      <c r="C1055" s="913"/>
      <c r="D1055" s="49" t="s">
        <v>17</v>
      </c>
      <c r="E1055" s="57"/>
      <c r="F1055" s="50"/>
      <c r="G1055" s="12" t="s">
        <v>441</v>
      </c>
      <c r="H1055" s="18"/>
      <c r="I1055" s="36"/>
      <c r="J1055" s="9"/>
      <c r="K1055" s="9"/>
      <c r="L1055" s="9"/>
      <c r="M1055" s="9"/>
      <c r="N1055" s="382"/>
      <c r="O1055" s="789"/>
      <c r="P1055" s="863"/>
      <c r="Q1055" s="874"/>
      <c r="R1055" s="874"/>
      <c r="S1055" s="841"/>
      <c r="T1055" s="854"/>
    </row>
    <row r="1056" spans="1:20" s="344" customFormat="1" ht="25.5">
      <c r="A1056" s="915"/>
      <c r="B1056" s="919"/>
      <c r="C1056" s="913"/>
      <c r="D1056" s="49" t="s">
        <v>195</v>
      </c>
      <c r="E1056" s="805">
        <f>'[3]Plan Tron'!B376</f>
        <v>2559</v>
      </c>
      <c r="F1056" s="805" t="str">
        <f>'[3]Plan Tron'!C376</f>
        <v>SINAPI (INSUMO)</v>
      </c>
      <c r="G1056" s="643" t="str">
        <f>'[3]Plan Tron'!D376</f>
        <v>CONDULETE DE ALUMINIO TIPO C, PARA ELETRODUTO ROSCAVEL DE 3/4", COM TAMPA CEGA</v>
      </c>
      <c r="H1056" s="805" t="str">
        <f>'[3]Plan Tron'!E376</f>
        <v xml:space="preserve">UN </v>
      </c>
      <c r="I1056" s="27">
        <v>5</v>
      </c>
      <c r="J1056" s="9">
        <v>4.9000000000000004</v>
      </c>
      <c r="K1056" s="9">
        <f>'[3]Plan Tron'!F376</f>
        <v>7.19</v>
      </c>
      <c r="L1056" s="9">
        <v>16.8</v>
      </c>
      <c r="M1056" s="9">
        <f t="shared" si="73"/>
        <v>8.4</v>
      </c>
      <c r="N1056" s="382">
        <v>0</v>
      </c>
      <c r="O1056" s="789">
        <f t="shared" si="69"/>
        <v>5</v>
      </c>
      <c r="P1056" s="863">
        <f t="shared" si="74"/>
        <v>42</v>
      </c>
      <c r="Q1056" s="874"/>
      <c r="R1056" s="874"/>
      <c r="S1056" s="841"/>
      <c r="T1056" s="854"/>
    </row>
    <row r="1057" spans="1:20" s="610" customFormat="1" ht="25.5">
      <c r="A1057" s="915"/>
      <c r="B1057" s="919"/>
      <c r="C1057" s="913" t="s">
        <v>2455</v>
      </c>
      <c r="D1057" s="49" t="s">
        <v>192</v>
      </c>
      <c r="E1057" s="57" t="s">
        <v>778</v>
      </c>
      <c r="F1057" s="50"/>
      <c r="G1057" s="12" t="s">
        <v>1421</v>
      </c>
      <c r="H1057" s="12" t="s">
        <v>246</v>
      </c>
      <c r="I1057" s="27">
        <v>1</v>
      </c>
      <c r="J1057" s="9">
        <v>32.46</v>
      </c>
      <c r="K1057" s="9">
        <f>J1057*$S$3</f>
        <v>42.522600000000004</v>
      </c>
      <c r="L1057" s="9">
        <v>16.8</v>
      </c>
      <c r="M1057" s="9">
        <f t="shared" si="73"/>
        <v>49.67</v>
      </c>
      <c r="N1057" s="382">
        <v>0</v>
      </c>
      <c r="O1057" s="789">
        <f t="shared" si="69"/>
        <v>1</v>
      </c>
      <c r="P1057" s="863">
        <f t="shared" si="74"/>
        <v>49.67</v>
      </c>
      <c r="Q1057" s="873"/>
      <c r="R1057" s="873"/>
      <c r="S1057" s="840"/>
      <c r="T1057" s="853"/>
    </row>
    <row r="1058" spans="1:20" s="318" customFormat="1">
      <c r="A1058" s="915"/>
      <c r="B1058" s="919"/>
      <c r="C1058" s="913"/>
      <c r="D1058" s="49"/>
      <c r="E1058" s="57"/>
      <c r="F1058" s="50"/>
      <c r="G1058" s="12"/>
      <c r="H1058" s="12"/>
      <c r="I1058" s="27"/>
      <c r="J1058" s="9"/>
      <c r="K1058" s="9"/>
      <c r="L1058" s="9"/>
      <c r="M1058" s="9"/>
      <c r="N1058" s="382"/>
      <c r="O1058" s="789"/>
      <c r="P1058" s="863"/>
      <c r="Q1058" s="874"/>
      <c r="R1058" s="874"/>
      <c r="S1058" s="841"/>
      <c r="T1058" s="854"/>
    </row>
    <row r="1059" spans="1:20" s="318" customFormat="1">
      <c r="A1059" s="915"/>
      <c r="B1059" s="919"/>
      <c r="C1059" s="913"/>
      <c r="D1059" s="49"/>
      <c r="E1059" s="57"/>
      <c r="F1059" s="50"/>
      <c r="G1059" s="12"/>
      <c r="H1059" s="12"/>
      <c r="I1059" s="27"/>
      <c r="J1059" s="9"/>
      <c r="K1059" s="9"/>
      <c r="L1059" s="9"/>
      <c r="M1059" s="9"/>
      <c r="N1059" s="382"/>
      <c r="O1059" s="789"/>
      <c r="P1059" s="863"/>
      <c r="Q1059" s="874"/>
      <c r="R1059" s="874"/>
      <c r="S1059" s="841"/>
      <c r="T1059" s="854"/>
    </row>
    <row r="1060" spans="1:20" s="610" customFormat="1" ht="25.5">
      <c r="A1060" s="915"/>
      <c r="B1060" s="919"/>
      <c r="C1060" s="913" t="s">
        <v>2455</v>
      </c>
      <c r="D1060" s="49" t="s">
        <v>280</v>
      </c>
      <c r="E1060" s="57" t="s">
        <v>1121</v>
      </c>
      <c r="F1060" s="50"/>
      <c r="G1060" s="12" t="s">
        <v>1420</v>
      </c>
      <c r="H1060" s="7" t="s">
        <v>326</v>
      </c>
      <c r="I1060" s="27">
        <v>3</v>
      </c>
      <c r="J1060" s="9">
        <v>22.53</v>
      </c>
      <c r="K1060" s="9">
        <f>J1060*$S$3</f>
        <v>29.514300000000002</v>
      </c>
      <c r="L1060" s="9">
        <v>16.8</v>
      </c>
      <c r="M1060" s="9">
        <f t="shared" si="73"/>
        <v>34.47</v>
      </c>
      <c r="N1060" s="382">
        <v>0</v>
      </c>
      <c r="O1060" s="789">
        <f t="shared" ref="O1060:O1122" si="75">I1060-N1060</f>
        <v>3</v>
      </c>
      <c r="P1060" s="863">
        <f t="shared" si="74"/>
        <v>103.41</v>
      </c>
      <c r="Q1060" s="873"/>
      <c r="R1060" s="873"/>
      <c r="S1060" s="840"/>
      <c r="T1060" s="853"/>
    </row>
    <row r="1061" spans="1:20" s="344" customFormat="1" ht="25.5">
      <c r="A1061" s="915"/>
      <c r="B1061" s="919"/>
      <c r="C1061" s="913"/>
      <c r="D1061" s="49" t="s">
        <v>277</v>
      </c>
      <c r="E1061" s="805">
        <f>'[3]Plan Tron'!B377</f>
        <v>2633</v>
      </c>
      <c r="F1061" s="805" t="str">
        <f>'[3]Plan Tron'!C377</f>
        <v>SINAPI (INSUMO)</v>
      </c>
      <c r="G1061" s="643" t="str">
        <f>'[3]Plan Tron'!D377</f>
        <v>CURVA 90 GRAUS, PARA ELETRODUTO, EM ACO GALVANIZADO ELETROLITICO, DIAMETRO DE 20 MM (3/4")</v>
      </c>
      <c r="H1061" s="805" t="str">
        <f>'[3]Plan Tron'!E377</f>
        <v xml:space="preserve">UN </v>
      </c>
      <c r="I1061" s="27">
        <v>1</v>
      </c>
      <c r="J1061" s="9">
        <v>2.37</v>
      </c>
      <c r="K1061" s="9">
        <f>'[3]Plan Tron'!F377</f>
        <v>2.5</v>
      </c>
      <c r="L1061" s="9">
        <v>16.8</v>
      </c>
      <c r="M1061" s="9">
        <f t="shared" si="73"/>
        <v>2.92</v>
      </c>
      <c r="N1061" s="382">
        <v>0</v>
      </c>
      <c r="O1061" s="789">
        <f t="shared" si="75"/>
        <v>1</v>
      </c>
      <c r="P1061" s="863">
        <f t="shared" si="74"/>
        <v>2.92</v>
      </c>
      <c r="Q1061" s="874"/>
      <c r="R1061" s="874"/>
      <c r="S1061" s="841"/>
      <c r="T1061" s="854"/>
    </row>
    <row r="1062" spans="1:20" s="318" customFormat="1">
      <c r="A1062" s="915"/>
      <c r="B1062" s="919"/>
      <c r="C1062" s="913"/>
      <c r="D1062" s="49" t="s">
        <v>16</v>
      </c>
      <c r="E1062" s="57"/>
      <c r="F1062" s="50"/>
      <c r="G1062" s="12" t="s">
        <v>1419</v>
      </c>
      <c r="H1062" s="7"/>
      <c r="I1062" s="27"/>
      <c r="J1062" s="9"/>
      <c r="K1062" s="9"/>
      <c r="L1062" s="9"/>
      <c r="M1062" s="9"/>
      <c r="N1062" s="382"/>
      <c r="O1062" s="789"/>
      <c r="P1062" s="863"/>
      <c r="Q1062" s="874"/>
      <c r="R1062" s="874"/>
      <c r="S1062" s="841"/>
      <c r="T1062" s="854"/>
    </row>
    <row r="1063" spans="1:20" s="610" customFormat="1">
      <c r="A1063" s="915"/>
      <c r="B1063" s="919"/>
      <c r="C1063" s="913" t="s">
        <v>2455</v>
      </c>
      <c r="D1063" s="49" t="s">
        <v>270</v>
      </c>
      <c r="E1063" s="57" t="s">
        <v>1100</v>
      </c>
      <c r="F1063" s="50"/>
      <c r="G1063" s="64" t="s">
        <v>1101</v>
      </c>
      <c r="H1063" s="7" t="s">
        <v>1078</v>
      </c>
      <c r="I1063" s="27">
        <v>10</v>
      </c>
      <c r="J1063" s="9">
        <v>38.85</v>
      </c>
      <c r="K1063" s="9">
        <f>J1063*$S$3</f>
        <v>50.893500000000003</v>
      </c>
      <c r="L1063" s="9">
        <v>16.8</v>
      </c>
      <c r="M1063" s="9">
        <f t="shared" si="73"/>
        <v>59.44</v>
      </c>
      <c r="N1063" s="382">
        <v>0</v>
      </c>
      <c r="O1063" s="789">
        <f t="shared" si="75"/>
        <v>10</v>
      </c>
      <c r="P1063" s="863">
        <f t="shared" si="74"/>
        <v>594.4</v>
      </c>
      <c r="Q1063" s="873"/>
      <c r="R1063" s="873"/>
      <c r="S1063" s="840"/>
      <c r="T1063" s="853"/>
    </row>
    <row r="1064" spans="1:20" s="318" customFormat="1">
      <c r="A1064" s="915"/>
      <c r="B1064" s="919"/>
      <c r="C1064" s="913"/>
      <c r="D1064" s="49" t="s">
        <v>15</v>
      </c>
      <c r="E1064" s="57"/>
      <c r="F1064" s="50"/>
      <c r="G1064" s="12" t="s">
        <v>1418</v>
      </c>
      <c r="H1064" s="7"/>
      <c r="I1064" s="27"/>
      <c r="J1064" s="9"/>
      <c r="K1064" s="9"/>
      <c r="L1064" s="9"/>
      <c r="M1064" s="9"/>
      <c r="N1064" s="382"/>
      <c r="O1064" s="789"/>
      <c r="P1064" s="863"/>
      <c r="Q1064" s="874"/>
      <c r="R1064" s="874"/>
      <c r="S1064" s="841"/>
      <c r="T1064" s="854"/>
    </row>
    <row r="1065" spans="1:20" s="610" customFormat="1">
      <c r="A1065" s="915"/>
      <c r="B1065" s="919"/>
      <c r="C1065" s="913" t="s">
        <v>2455</v>
      </c>
      <c r="D1065" s="49" t="s">
        <v>249</v>
      </c>
      <c r="E1065" s="57" t="s">
        <v>1416</v>
      </c>
      <c r="F1065" s="50"/>
      <c r="G1065" s="12" t="s">
        <v>1417</v>
      </c>
      <c r="H1065" s="7" t="s">
        <v>1078</v>
      </c>
      <c r="I1065" s="27">
        <v>1</v>
      </c>
      <c r="J1065" s="9">
        <v>434.14</v>
      </c>
      <c r="K1065" s="9">
        <f>J1065*$S$3</f>
        <v>568.72339999999997</v>
      </c>
      <c r="L1065" s="9">
        <v>16.8</v>
      </c>
      <c r="M1065" s="9">
        <f t="shared" si="73"/>
        <v>664.27</v>
      </c>
      <c r="N1065" s="382">
        <v>0</v>
      </c>
      <c r="O1065" s="789">
        <f t="shared" si="75"/>
        <v>1</v>
      </c>
      <c r="P1065" s="863">
        <f t="shared" si="74"/>
        <v>664.27</v>
      </c>
      <c r="Q1065" s="873"/>
      <c r="R1065" s="873"/>
      <c r="S1065" s="840"/>
      <c r="T1065" s="853"/>
    </row>
    <row r="1066" spans="1:20" s="318" customFormat="1">
      <c r="A1066" s="915"/>
      <c r="B1066" s="919"/>
      <c r="C1066" s="913"/>
      <c r="D1066" s="49" t="s">
        <v>14</v>
      </c>
      <c r="E1066" s="57"/>
      <c r="F1066" s="50"/>
      <c r="G1066" s="12" t="s">
        <v>440</v>
      </c>
      <c r="H1066" s="12"/>
      <c r="I1066" s="27"/>
      <c r="J1066" s="9"/>
      <c r="K1066" s="9"/>
      <c r="L1066" s="9"/>
      <c r="M1066" s="9"/>
      <c r="N1066" s="382"/>
      <c r="O1066" s="789"/>
      <c r="P1066" s="863"/>
      <c r="Q1066" s="874"/>
      <c r="R1066" s="874"/>
      <c r="S1066" s="841"/>
      <c r="T1066" s="854"/>
    </row>
    <row r="1067" spans="1:20" s="610" customFormat="1" ht="38.25">
      <c r="A1067" s="915"/>
      <c r="B1067" s="919"/>
      <c r="C1067" s="913" t="s">
        <v>2455</v>
      </c>
      <c r="D1067" s="49" t="s">
        <v>181</v>
      </c>
      <c r="E1067" s="805" t="s">
        <v>1107</v>
      </c>
      <c r="F1067" s="195"/>
      <c r="G1067" s="64" t="s">
        <v>1108</v>
      </c>
      <c r="H1067" s="7" t="s">
        <v>246</v>
      </c>
      <c r="I1067" s="27">
        <v>1</v>
      </c>
      <c r="J1067" s="9">
        <v>350</v>
      </c>
      <c r="K1067" s="9">
        <f>J1067*$S$3</f>
        <v>458.5</v>
      </c>
      <c r="L1067" s="9">
        <v>16.8</v>
      </c>
      <c r="M1067" s="9">
        <f t="shared" si="73"/>
        <v>535.53</v>
      </c>
      <c r="N1067" s="382">
        <v>0</v>
      </c>
      <c r="O1067" s="789">
        <f t="shared" si="75"/>
        <v>1</v>
      </c>
      <c r="P1067" s="863">
        <f t="shared" si="74"/>
        <v>535.53</v>
      </c>
      <c r="Q1067" s="873"/>
      <c r="R1067" s="873"/>
      <c r="S1067" s="840"/>
      <c r="T1067" s="853"/>
    </row>
    <row r="1068" spans="1:20" s="344" customFormat="1" ht="25.5">
      <c r="A1068" s="915"/>
      <c r="B1068" s="919"/>
      <c r="C1068" s="913"/>
      <c r="D1068" s="49" t="s">
        <v>180</v>
      </c>
      <c r="E1068" s="805">
        <f>'[3]Plan Tron'!B378</f>
        <v>3757</v>
      </c>
      <c r="F1068" s="805" t="str">
        <f>'[3]Plan Tron'!C378</f>
        <v>SINAPI (INSUMO)</v>
      </c>
      <c r="G1068" s="643" t="str">
        <f>'[3]Plan Tron'!D378</f>
        <v xml:space="preserve"> LAMPADA VAPOR DE SODIO OVOIDE 250 W (BASE E40) </v>
      </c>
      <c r="H1068" s="805" t="str">
        <f>'[3]Plan Tron'!E378</f>
        <v xml:space="preserve">UN </v>
      </c>
      <c r="I1068" s="27">
        <v>4</v>
      </c>
      <c r="J1068" s="9">
        <v>31.73</v>
      </c>
      <c r="K1068" s="9">
        <f>'[3]Plan Tron'!F378</f>
        <v>43.43</v>
      </c>
      <c r="L1068" s="9">
        <v>16.8</v>
      </c>
      <c r="M1068" s="9">
        <f t="shared" si="73"/>
        <v>50.73</v>
      </c>
      <c r="N1068" s="382">
        <v>0</v>
      </c>
      <c r="O1068" s="789">
        <f t="shared" si="75"/>
        <v>4</v>
      </c>
      <c r="P1068" s="863">
        <f t="shared" si="74"/>
        <v>202.92</v>
      </c>
      <c r="Q1068" s="874"/>
      <c r="R1068" s="874"/>
      <c r="S1068" s="841"/>
      <c r="T1068" s="854"/>
    </row>
    <row r="1069" spans="1:20" s="610" customFormat="1" ht="51">
      <c r="A1069" s="915"/>
      <c r="B1069" s="919"/>
      <c r="C1069" s="913" t="s">
        <v>2455</v>
      </c>
      <c r="D1069" s="49" t="s">
        <v>179</v>
      </c>
      <c r="E1069" s="57" t="s">
        <v>1414</v>
      </c>
      <c r="F1069" s="50"/>
      <c r="G1069" s="12" t="s">
        <v>1415</v>
      </c>
      <c r="H1069" s="12" t="s">
        <v>326</v>
      </c>
      <c r="I1069" s="27">
        <v>4</v>
      </c>
      <c r="J1069" s="9">
        <v>181.54</v>
      </c>
      <c r="K1069" s="9">
        <f>J1069*$S$3</f>
        <v>237.81739999999999</v>
      </c>
      <c r="L1069" s="9">
        <v>16.8</v>
      </c>
      <c r="M1069" s="9">
        <f t="shared" si="73"/>
        <v>277.77</v>
      </c>
      <c r="N1069" s="382">
        <v>0</v>
      </c>
      <c r="O1069" s="789">
        <f t="shared" si="75"/>
        <v>4</v>
      </c>
      <c r="P1069" s="863">
        <f t="shared" si="74"/>
        <v>1111.08</v>
      </c>
      <c r="Q1069" s="873"/>
      <c r="R1069" s="873"/>
      <c r="S1069" s="840"/>
      <c r="T1069" s="853"/>
    </row>
    <row r="1070" spans="1:20" s="318" customFormat="1">
      <c r="A1070" s="915"/>
      <c r="B1070" s="919"/>
      <c r="C1070" s="913"/>
      <c r="D1070" s="49"/>
      <c r="E1070" s="57"/>
      <c r="F1070" s="50"/>
      <c r="G1070" s="12"/>
      <c r="H1070" s="12"/>
      <c r="I1070" s="27"/>
      <c r="J1070" s="9"/>
      <c r="K1070" s="9"/>
      <c r="L1070" s="9"/>
      <c r="M1070" s="9"/>
      <c r="N1070" s="382"/>
      <c r="O1070" s="789"/>
      <c r="P1070" s="863"/>
      <c r="Q1070" s="874"/>
      <c r="R1070" s="874"/>
      <c r="S1070" s="841"/>
      <c r="T1070" s="854"/>
    </row>
    <row r="1071" spans="1:20" s="318" customFormat="1">
      <c r="A1071" s="915"/>
      <c r="B1071" s="919"/>
      <c r="C1071" s="913"/>
      <c r="D1071" s="49" t="s">
        <v>13</v>
      </c>
      <c r="E1071" s="57"/>
      <c r="F1071" s="50"/>
      <c r="G1071" s="12" t="s">
        <v>1042</v>
      </c>
      <c r="H1071" s="7"/>
      <c r="I1071" s="27"/>
      <c r="J1071" s="9"/>
      <c r="K1071" s="9"/>
      <c r="L1071" s="9"/>
      <c r="M1071" s="9"/>
      <c r="N1071" s="382"/>
      <c r="O1071" s="789"/>
      <c r="P1071" s="863"/>
      <c r="Q1071" s="874"/>
      <c r="R1071" s="874"/>
      <c r="S1071" s="841"/>
      <c r="T1071" s="854"/>
    </row>
    <row r="1072" spans="1:20" s="610" customFormat="1">
      <c r="A1072" s="915"/>
      <c r="B1072" s="919"/>
      <c r="C1072" s="913" t="s">
        <v>2455</v>
      </c>
      <c r="D1072" s="49" t="s">
        <v>167</v>
      </c>
      <c r="E1072" s="57" t="s">
        <v>1063</v>
      </c>
      <c r="F1072" s="50"/>
      <c r="G1072" s="64" t="s">
        <v>1064</v>
      </c>
      <c r="H1072" s="7" t="s">
        <v>110</v>
      </c>
      <c r="I1072" s="27">
        <v>60</v>
      </c>
      <c r="J1072" s="9">
        <v>6.2</v>
      </c>
      <c r="K1072" s="9">
        <f>J1072*$S$3</f>
        <v>8.1219999999999999</v>
      </c>
      <c r="L1072" s="9">
        <v>16.8</v>
      </c>
      <c r="M1072" s="9">
        <f t="shared" si="73"/>
        <v>9.49</v>
      </c>
      <c r="N1072" s="382">
        <v>0</v>
      </c>
      <c r="O1072" s="789">
        <f t="shared" si="75"/>
        <v>60</v>
      </c>
      <c r="P1072" s="863">
        <f t="shared" si="74"/>
        <v>569.4</v>
      </c>
      <c r="Q1072" s="873"/>
      <c r="R1072" s="873"/>
      <c r="S1072" s="840"/>
      <c r="T1072" s="853"/>
    </row>
    <row r="1073" spans="1:20" s="344" customFormat="1" ht="25.5">
      <c r="A1073" s="915"/>
      <c r="B1073" s="919"/>
      <c r="C1073" s="913"/>
      <c r="D1073" s="49" t="s">
        <v>166</v>
      </c>
      <c r="E1073" s="805">
        <f>'[3]Plan Tron'!B379</f>
        <v>2567</v>
      </c>
      <c r="F1073" s="805" t="str">
        <f>'[3]Plan Tron'!C379</f>
        <v>SINAPI (INSUMO)</v>
      </c>
      <c r="G1073" s="643" t="str">
        <f>'[3]Plan Tron'!D379</f>
        <v xml:space="preserve">CONDULETE DE ALUMINIO TIPO E, PARA ELETRODUTO ROSCAVEL DE 2", COM TAMPA CEGA </v>
      </c>
      <c r="H1073" s="805" t="str">
        <f>'[3]Plan Tron'!E379</f>
        <v xml:space="preserve">UN </v>
      </c>
      <c r="I1073" s="27">
        <v>4</v>
      </c>
      <c r="J1073" s="9">
        <v>24.82</v>
      </c>
      <c r="K1073" s="9">
        <f>'[3]Plan Tron'!F379</f>
        <v>23.38</v>
      </c>
      <c r="L1073" s="9">
        <v>16.8</v>
      </c>
      <c r="M1073" s="9">
        <f t="shared" si="73"/>
        <v>27.31</v>
      </c>
      <c r="N1073" s="382">
        <v>0</v>
      </c>
      <c r="O1073" s="789">
        <f t="shared" si="75"/>
        <v>4</v>
      </c>
      <c r="P1073" s="863">
        <f t="shared" si="74"/>
        <v>109.24</v>
      </c>
      <c r="Q1073" s="874"/>
      <c r="R1073" s="874"/>
      <c r="S1073" s="841"/>
      <c r="T1073" s="854"/>
    </row>
    <row r="1074" spans="1:20" s="610" customFormat="1">
      <c r="A1074" s="915"/>
      <c r="B1074" s="919"/>
      <c r="C1074" s="913" t="s">
        <v>2455</v>
      </c>
      <c r="D1074" s="49" t="s">
        <v>165</v>
      </c>
      <c r="E1074" s="57" t="s">
        <v>190</v>
      </c>
      <c r="F1074" s="50"/>
      <c r="G1074" s="12" t="s">
        <v>191</v>
      </c>
      <c r="H1074" s="7" t="s">
        <v>326</v>
      </c>
      <c r="I1074" s="27">
        <v>21</v>
      </c>
      <c r="J1074" s="9">
        <v>17.5</v>
      </c>
      <c r="K1074" s="9">
        <f>J1074*$S$3</f>
        <v>22.925000000000001</v>
      </c>
      <c r="L1074" s="9">
        <v>16.8</v>
      </c>
      <c r="M1074" s="9">
        <f t="shared" si="73"/>
        <v>26.78</v>
      </c>
      <c r="N1074" s="382">
        <v>0</v>
      </c>
      <c r="O1074" s="789">
        <f t="shared" si="75"/>
        <v>21</v>
      </c>
      <c r="P1074" s="863">
        <f t="shared" si="74"/>
        <v>562.38</v>
      </c>
      <c r="Q1074" s="873"/>
      <c r="R1074" s="873"/>
      <c r="S1074" s="840"/>
      <c r="T1074" s="853"/>
    </row>
    <row r="1075" spans="1:20" s="610" customFormat="1" ht="25.5">
      <c r="A1075" s="915"/>
      <c r="B1075" s="919"/>
      <c r="C1075" s="913" t="s">
        <v>2455</v>
      </c>
      <c r="D1075" s="49" t="s">
        <v>164</v>
      </c>
      <c r="E1075" s="57" t="s">
        <v>193</v>
      </c>
      <c r="F1075" s="50"/>
      <c r="G1075" s="12" t="s">
        <v>194</v>
      </c>
      <c r="H1075" s="12" t="s">
        <v>246</v>
      </c>
      <c r="I1075" s="27">
        <v>1</v>
      </c>
      <c r="J1075" s="9">
        <v>180</v>
      </c>
      <c r="K1075" s="9">
        <f>J1075*$S$3</f>
        <v>235.8</v>
      </c>
      <c r="L1075" s="9">
        <v>16.8</v>
      </c>
      <c r="M1075" s="9">
        <f t="shared" si="73"/>
        <v>275.41000000000003</v>
      </c>
      <c r="N1075" s="382">
        <v>0</v>
      </c>
      <c r="O1075" s="789">
        <f t="shared" si="75"/>
        <v>1</v>
      </c>
      <c r="P1075" s="863">
        <f t="shared" si="74"/>
        <v>275.41000000000003</v>
      </c>
      <c r="Q1075" s="873"/>
      <c r="R1075" s="873"/>
      <c r="S1075" s="840"/>
      <c r="T1075" s="853"/>
    </row>
    <row r="1076" spans="1:20" s="610" customFormat="1">
      <c r="A1076" s="915"/>
      <c r="B1076" s="919"/>
      <c r="C1076" s="913" t="s">
        <v>2455</v>
      </c>
      <c r="D1076" s="49" t="s">
        <v>1309</v>
      </c>
      <c r="E1076" s="805" t="s">
        <v>1058</v>
      </c>
      <c r="F1076" s="195"/>
      <c r="G1076" s="12" t="s">
        <v>1059</v>
      </c>
      <c r="H1076" s="7" t="s">
        <v>246</v>
      </c>
      <c r="I1076" s="27">
        <v>7</v>
      </c>
      <c r="J1076" s="9">
        <v>10.6</v>
      </c>
      <c r="K1076" s="9">
        <f>J1076*$S$3</f>
        <v>13.885999999999999</v>
      </c>
      <c r="L1076" s="9">
        <v>16.8</v>
      </c>
      <c r="M1076" s="9">
        <f t="shared" si="73"/>
        <v>16.22</v>
      </c>
      <c r="N1076" s="382">
        <v>0</v>
      </c>
      <c r="O1076" s="789">
        <f t="shared" si="75"/>
        <v>7</v>
      </c>
      <c r="P1076" s="863">
        <f t="shared" si="74"/>
        <v>113.54</v>
      </c>
      <c r="Q1076" s="873"/>
      <c r="R1076" s="873"/>
      <c r="S1076" s="840"/>
      <c r="T1076" s="853"/>
    </row>
    <row r="1077" spans="1:20" s="610" customFormat="1">
      <c r="A1077" s="915"/>
      <c r="B1077" s="919"/>
      <c r="C1077" s="913" t="s">
        <v>2455</v>
      </c>
      <c r="D1077" s="49" t="s">
        <v>1308</v>
      </c>
      <c r="E1077" s="57" t="s">
        <v>1412</v>
      </c>
      <c r="F1077" s="50"/>
      <c r="G1077" s="12" t="s">
        <v>1413</v>
      </c>
      <c r="H1077" s="7" t="s">
        <v>246</v>
      </c>
      <c r="I1077" s="27">
        <v>1</v>
      </c>
      <c r="J1077" s="9">
        <v>29</v>
      </c>
      <c r="K1077" s="9">
        <f>J1077*$S$3</f>
        <v>37.99</v>
      </c>
      <c r="L1077" s="9">
        <v>16.8</v>
      </c>
      <c r="M1077" s="9">
        <f t="shared" si="73"/>
        <v>44.37</v>
      </c>
      <c r="N1077" s="382">
        <v>0</v>
      </c>
      <c r="O1077" s="789">
        <f t="shared" si="75"/>
        <v>1</v>
      </c>
      <c r="P1077" s="863">
        <f t="shared" si="74"/>
        <v>44.37</v>
      </c>
      <c r="Q1077" s="873"/>
      <c r="R1077" s="873"/>
      <c r="S1077" s="840"/>
      <c r="T1077" s="853"/>
    </row>
    <row r="1078" spans="1:20" s="610" customFormat="1">
      <c r="A1078" s="915"/>
      <c r="B1078" s="919"/>
      <c r="C1078" s="913" t="s">
        <v>2455</v>
      </c>
      <c r="D1078" s="49" t="s">
        <v>1307</v>
      </c>
      <c r="E1078" s="57" t="s">
        <v>1410</v>
      </c>
      <c r="F1078" s="50"/>
      <c r="G1078" s="12" t="s">
        <v>1411</v>
      </c>
      <c r="H1078" s="7" t="s">
        <v>246</v>
      </c>
      <c r="I1078" s="27">
        <v>30</v>
      </c>
      <c r="J1078" s="9">
        <v>2.25</v>
      </c>
      <c r="K1078" s="9">
        <f>J1078*$S$3</f>
        <v>2.9475000000000002</v>
      </c>
      <c r="L1078" s="9">
        <v>16.8</v>
      </c>
      <c r="M1078" s="9">
        <f t="shared" si="73"/>
        <v>3.44</v>
      </c>
      <c r="N1078" s="382">
        <v>0</v>
      </c>
      <c r="O1078" s="789">
        <f t="shared" si="75"/>
        <v>30</v>
      </c>
      <c r="P1078" s="863">
        <f t="shared" si="74"/>
        <v>103.2</v>
      </c>
      <c r="Q1078" s="873"/>
      <c r="R1078" s="873"/>
      <c r="S1078" s="840"/>
      <c r="T1078" s="853"/>
    </row>
    <row r="1079" spans="1:20" s="318" customFormat="1">
      <c r="A1079" s="915"/>
      <c r="B1079" s="919"/>
      <c r="C1079" s="913"/>
      <c r="D1079" s="49" t="s">
        <v>12</v>
      </c>
      <c r="E1079" s="805"/>
      <c r="F1079" s="195"/>
      <c r="G1079" s="12" t="s">
        <v>770</v>
      </c>
      <c r="H1079" s="7"/>
      <c r="I1079" s="27"/>
      <c r="J1079" s="9"/>
      <c r="K1079" s="9"/>
      <c r="L1079" s="9"/>
      <c r="M1079" s="9"/>
      <c r="N1079" s="382"/>
      <c r="O1079" s="789"/>
      <c r="P1079" s="863"/>
      <c r="Q1079" s="874"/>
      <c r="R1079" s="874"/>
      <c r="S1079" s="841"/>
      <c r="T1079" s="854"/>
    </row>
    <row r="1080" spans="1:20" s="610" customFormat="1" ht="38.25">
      <c r="A1080" s="915"/>
      <c r="B1080" s="919"/>
      <c r="C1080" s="913" t="s">
        <v>2455</v>
      </c>
      <c r="D1080" s="49" t="s">
        <v>162</v>
      </c>
      <c r="E1080" s="805" t="s">
        <v>768</v>
      </c>
      <c r="F1080" s="195"/>
      <c r="G1080" s="12" t="s">
        <v>769</v>
      </c>
      <c r="H1080" s="7" t="s">
        <v>326</v>
      </c>
      <c r="I1080" s="27">
        <v>1</v>
      </c>
      <c r="J1080" s="9">
        <v>423.43</v>
      </c>
      <c r="K1080" s="9">
        <f>J1080*$S$3</f>
        <v>554.69330000000002</v>
      </c>
      <c r="L1080" s="9">
        <v>16.8</v>
      </c>
      <c r="M1080" s="9">
        <f t="shared" si="73"/>
        <v>647.88</v>
      </c>
      <c r="N1080" s="382">
        <v>0</v>
      </c>
      <c r="O1080" s="789">
        <f t="shared" si="75"/>
        <v>1</v>
      </c>
      <c r="P1080" s="863">
        <f t="shared" si="74"/>
        <v>647.88</v>
      </c>
      <c r="Q1080" s="873"/>
      <c r="R1080" s="873"/>
      <c r="S1080" s="840"/>
      <c r="T1080" s="853"/>
    </row>
    <row r="1081" spans="1:20">
      <c r="D1081" s="49"/>
      <c r="E1081" s="57"/>
      <c r="F1081" s="50"/>
      <c r="G1081" s="12"/>
      <c r="H1081" s="7"/>
      <c r="I1081" s="27"/>
      <c r="J1081" s="9"/>
      <c r="K1081" s="9"/>
      <c r="L1081" s="9"/>
      <c r="M1081" s="9"/>
      <c r="N1081" s="375"/>
      <c r="O1081" s="789"/>
      <c r="P1081" s="863"/>
      <c r="Q1081" s="874"/>
      <c r="R1081" s="874"/>
      <c r="S1081" s="841"/>
      <c r="T1081" s="854"/>
    </row>
    <row r="1082" spans="1:20">
      <c r="D1082" s="49"/>
      <c r="E1082" s="57"/>
      <c r="F1082" s="50"/>
      <c r="G1082" s="56"/>
      <c r="H1082" s="18"/>
      <c r="I1082" s="36"/>
      <c r="J1082" s="20"/>
      <c r="K1082" s="20"/>
      <c r="L1082" s="20"/>
      <c r="M1082" s="9"/>
      <c r="N1082" s="380"/>
      <c r="O1082" s="789"/>
      <c r="P1082" s="863"/>
      <c r="Q1082" s="874"/>
      <c r="R1082" s="874"/>
      <c r="S1082" s="841"/>
      <c r="T1082" s="854"/>
    </row>
    <row r="1083" spans="1:20" s="299" customFormat="1">
      <c r="A1083" s="918"/>
      <c r="B1083" s="922"/>
      <c r="C1083" s="924"/>
      <c r="D1083" s="338"/>
      <c r="E1083" s="340"/>
      <c r="F1083" s="338"/>
      <c r="G1083" s="340" t="s">
        <v>70</v>
      </c>
      <c r="H1083" s="338" t="str">
        <f>D1035</f>
        <v>25.3</v>
      </c>
      <c r="I1083" s="338"/>
      <c r="J1083" s="338"/>
      <c r="K1083" s="338"/>
      <c r="L1083" s="338"/>
      <c r="M1083" s="9"/>
      <c r="N1083" s="381"/>
      <c r="O1083" s="789"/>
      <c r="P1083" s="863">
        <f>SUM(P1041:P1080)</f>
        <v>220889.55000000002</v>
      </c>
      <c r="Q1083" s="874"/>
      <c r="R1083" s="874"/>
      <c r="S1083" s="841"/>
      <c r="T1083" s="854"/>
    </row>
    <row r="1084" spans="1:20">
      <c r="D1084" s="44"/>
      <c r="E1084" s="296"/>
      <c r="F1084" s="44"/>
      <c r="G1084" s="44"/>
      <c r="H1084" s="44"/>
      <c r="I1084" s="44"/>
      <c r="J1084" s="302"/>
      <c r="K1084" s="302"/>
      <c r="L1084" s="44"/>
      <c r="M1084" s="9"/>
      <c r="N1084" s="375"/>
      <c r="O1084" s="789"/>
      <c r="P1084" s="863"/>
      <c r="Q1084" s="874"/>
      <c r="R1084" s="874"/>
      <c r="S1084" s="841"/>
      <c r="T1084" s="854"/>
    </row>
    <row r="1085" spans="1:20" s="310" customFormat="1">
      <c r="A1085" s="915"/>
      <c r="B1085" s="919"/>
      <c r="C1085" s="913"/>
      <c r="D1085" s="108" t="s">
        <v>34</v>
      </c>
      <c r="E1085" s="813"/>
      <c r="F1085" s="109"/>
      <c r="G1085" s="108" t="s">
        <v>1974</v>
      </c>
      <c r="H1085" s="109"/>
      <c r="I1085" s="109"/>
      <c r="J1085" s="109"/>
      <c r="K1085" s="109"/>
      <c r="L1085" s="109"/>
      <c r="M1085" s="791"/>
      <c r="N1085" s="378"/>
      <c r="O1085" s="792"/>
      <c r="P1085" s="864"/>
      <c r="Q1085" s="872"/>
      <c r="R1085" s="872"/>
      <c r="S1085" s="842"/>
      <c r="T1085" s="852"/>
    </row>
    <row r="1086" spans="1:20">
      <c r="D1086" s="384"/>
      <c r="E1086" s="931"/>
      <c r="F1086" s="384"/>
      <c r="G1086" s="384"/>
      <c r="H1086" s="384"/>
      <c r="I1086" s="384"/>
      <c r="J1086" s="384"/>
      <c r="K1086" s="384"/>
      <c r="L1086" s="384"/>
      <c r="M1086" s="9"/>
      <c r="N1086" s="926"/>
      <c r="O1086" s="900"/>
      <c r="P1086" s="901"/>
      <c r="Q1086" s="874"/>
      <c r="R1086" s="874"/>
      <c r="S1086" s="841"/>
      <c r="T1086" s="854"/>
    </row>
    <row r="1087" spans="1:20" ht="25.5">
      <c r="D1087" s="220"/>
      <c r="E1087" s="127"/>
      <c r="F1087" s="124"/>
      <c r="G1087" s="124" t="s">
        <v>342</v>
      </c>
      <c r="H1087" s="267"/>
      <c r="I1087" s="268"/>
      <c r="J1087" s="269"/>
      <c r="K1087" s="269"/>
      <c r="L1087" s="269"/>
      <c r="M1087" s="9"/>
      <c r="N1087" s="926"/>
      <c r="O1087" s="900"/>
      <c r="P1087" s="901"/>
      <c r="Q1087" s="874"/>
      <c r="R1087" s="874"/>
      <c r="S1087" s="841"/>
      <c r="T1087" s="854"/>
    </row>
    <row r="1088" spans="1:20">
      <c r="D1088" s="220"/>
      <c r="E1088" s="127"/>
      <c r="F1088" s="124"/>
      <c r="G1088" s="124"/>
      <c r="H1088" s="267"/>
      <c r="I1088" s="268"/>
      <c r="J1088" s="269"/>
      <c r="K1088" s="269"/>
      <c r="L1088" s="269"/>
      <c r="M1088" s="9"/>
      <c r="N1088" s="926"/>
      <c r="O1088" s="900"/>
      <c r="P1088" s="901"/>
      <c r="Q1088" s="874"/>
      <c r="R1088" s="874"/>
      <c r="S1088" s="841"/>
      <c r="T1088" s="854"/>
    </row>
    <row r="1089" spans="1:20">
      <c r="D1089" s="122">
        <v>1</v>
      </c>
      <c r="E1089" s="127"/>
      <c r="F1089" s="123"/>
      <c r="G1089" s="124" t="s">
        <v>1478</v>
      </c>
      <c r="H1089" s="270"/>
      <c r="I1089" s="271"/>
      <c r="J1089" s="272"/>
      <c r="K1089" s="272"/>
      <c r="L1089" s="272"/>
      <c r="M1089" s="9"/>
      <c r="N1089" s="926"/>
      <c r="O1089" s="900"/>
      <c r="P1089" s="901"/>
      <c r="Q1089" s="874"/>
      <c r="R1089" s="874"/>
      <c r="S1089" s="841"/>
      <c r="T1089" s="854"/>
    </row>
    <row r="1090" spans="1:20">
      <c r="D1090" s="126" t="s">
        <v>20</v>
      </c>
      <c r="E1090" s="127"/>
      <c r="F1090" s="123"/>
      <c r="G1090" s="116" t="s">
        <v>766</v>
      </c>
      <c r="H1090" s="273"/>
      <c r="I1090" s="274"/>
      <c r="J1090" s="275"/>
      <c r="K1090" s="275"/>
      <c r="L1090" s="275"/>
      <c r="M1090" s="9"/>
      <c r="N1090" s="926"/>
      <c r="O1090" s="900"/>
      <c r="P1090" s="901"/>
      <c r="Q1090" s="874"/>
      <c r="R1090" s="874"/>
      <c r="S1090" s="841"/>
      <c r="T1090" s="854"/>
    </row>
    <row r="1091" spans="1:20" s="885" customFormat="1" ht="51">
      <c r="A1091" s="915"/>
      <c r="B1091" s="919"/>
      <c r="C1091" s="913"/>
      <c r="D1091" s="126" t="s">
        <v>153</v>
      </c>
      <c r="E1091" s="807" t="s">
        <v>1476</v>
      </c>
      <c r="F1091" s="226"/>
      <c r="G1091" s="116" t="s">
        <v>1477</v>
      </c>
      <c r="H1091" s="119" t="s">
        <v>326</v>
      </c>
      <c r="I1091" s="162">
        <v>2</v>
      </c>
      <c r="J1091" s="161">
        <v>4850</v>
      </c>
      <c r="K1091" s="161">
        <v>4100</v>
      </c>
      <c r="L1091" s="161">
        <v>16.8</v>
      </c>
      <c r="M1091" s="9">
        <f t="shared" si="73"/>
        <v>4788.8</v>
      </c>
      <c r="N1091" s="948">
        <v>0</v>
      </c>
      <c r="O1091" s="900">
        <f t="shared" si="75"/>
        <v>2</v>
      </c>
      <c r="P1091" s="901">
        <f t="shared" si="74"/>
        <v>9577.6</v>
      </c>
      <c r="Q1091" s="882">
        <v>183</v>
      </c>
      <c r="R1091" s="882" t="s">
        <v>2432</v>
      </c>
      <c r="S1091" s="883"/>
      <c r="T1091" s="884"/>
    </row>
    <row r="1092" spans="1:20" s="610" customFormat="1" ht="25.5">
      <c r="A1092" s="915"/>
      <c r="B1092" s="919"/>
      <c r="C1092" s="913"/>
      <c r="D1092" s="126" t="s">
        <v>151</v>
      </c>
      <c r="E1092" s="807" t="s">
        <v>1474</v>
      </c>
      <c r="F1092" s="226"/>
      <c r="G1092" s="116" t="s">
        <v>1475</v>
      </c>
      <c r="H1092" s="119" t="s">
        <v>326</v>
      </c>
      <c r="I1092" s="162">
        <v>1</v>
      </c>
      <c r="J1092" s="161">
        <v>1656</v>
      </c>
      <c r="K1092" s="9">
        <f>J1092*$S$3</f>
        <v>2169.36</v>
      </c>
      <c r="L1092" s="161">
        <v>16.8</v>
      </c>
      <c r="M1092" s="9">
        <f t="shared" si="73"/>
        <v>2533.81</v>
      </c>
      <c r="N1092" s="948">
        <v>0</v>
      </c>
      <c r="O1092" s="900">
        <f t="shared" si="75"/>
        <v>1</v>
      </c>
      <c r="P1092" s="901">
        <f t="shared" si="74"/>
        <v>2533.81</v>
      </c>
      <c r="Q1092" s="873"/>
      <c r="R1092" s="873"/>
      <c r="S1092" s="840"/>
      <c r="T1092" s="853"/>
    </row>
    <row r="1093" spans="1:20" s="308" customFormat="1">
      <c r="A1093" s="915"/>
      <c r="B1093" s="919"/>
      <c r="C1093" s="913"/>
      <c r="D1093" s="126" t="s">
        <v>19</v>
      </c>
      <c r="E1093" s="127"/>
      <c r="F1093" s="123"/>
      <c r="G1093" s="116" t="s">
        <v>907</v>
      </c>
      <c r="H1093" s="227"/>
      <c r="I1093" s="365"/>
      <c r="J1093" s="366"/>
      <c r="K1093" s="366"/>
      <c r="L1093" s="161"/>
      <c r="M1093" s="9"/>
      <c r="N1093" s="948"/>
      <c r="O1093" s="900"/>
      <c r="P1093" s="901"/>
      <c r="Q1093" s="874"/>
      <c r="R1093" s="874"/>
      <c r="S1093" s="841"/>
      <c r="T1093" s="854"/>
    </row>
    <row r="1094" spans="1:20" s="610" customFormat="1">
      <c r="A1094" s="915"/>
      <c r="B1094" s="919" t="s">
        <v>2457</v>
      </c>
      <c r="C1094" s="913"/>
      <c r="D1094" s="126" t="s">
        <v>147</v>
      </c>
      <c r="E1094" s="940" t="s">
        <v>1396</v>
      </c>
      <c r="F1094" s="941"/>
      <c r="G1094" s="116" t="s">
        <v>1473</v>
      </c>
      <c r="H1094" s="119" t="s">
        <v>246</v>
      </c>
      <c r="I1094" s="162">
        <v>1</v>
      </c>
      <c r="J1094" s="161">
        <v>645</v>
      </c>
      <c r="K1094" s="9">
        <f>J1094*$S$3</f>
        <v>844.95</v>
      </c>
      <c r="L1094" s="161">
        <v>16.8</v>
      </c>
      <c r="M1094" s="9">
        <f t="shared" si="73"/>
        <v>986.9</v>
      </c>
      <c r="N1094" s="948">
        <v>0</v>
      </c>
      <c r="O1094" s="900">
        <f t="shared" si="75"/>
        <v>1</v>
      </c>
      <c r="P1094" s="901">
        <f t="shared" si="74"/>
        <v>986.9</v>
      </c>
      <c r="Q1094" s="873"/>
      <c r="R1094" s="873"/>
      <c r="S1094" s="840"/>
      <c r="T1094" s="853"/>
    </row>
    <row r="1095" spans="1:20" s="610" customFormat="1" ht="38.25">
      <c r="A1095" s="915"/>
      <c r="B1095" s="919" t="s">
        <v>2457</v>
      </c>
      <c r="C1095" s="913"/>
      <c r="D1095" s="126" t="s">
        <v>213</v>
      </c>
      <c r="E1095" s="807" t="s">
        <v>1471</v>
      </c>
      <c r="F1095" s="226"/>
      <c r="G1095" s="116" t="s">
        <v>1472</v>
      </c>
      <c r="H1095" s="119" t="s">
        <v>326</v>
      </c>
      <c r="I1095" s="162">
        <v>2</v>
      </c>
      <c r="J1095" s="161">
        <v>300</v>
      </c>
      <c r="K1095" s="9">
        <f>J1095*$S$3</f>
        <v>393</v>
      </c>
      <c r="L1095" s="161">
        <v>16.8</v>
      </c>
      <c r="M1095" s="9">
        <f t="shared" si="73"/>
        <v>459.02</v>
      </c>
      <c r="N1095" s="948">
        <v>0</v>
      </c>
      <c r="O1095" s="900">
        <f t="shared" si="75"/>
        <v>2</v>
      </c>
      <c r="P1095" s="901">
        <f t="shared" si="74"/>
        <v>918.04</v>
      </c>
      <c r="Q1095" s="873"/>
      <c r="R1095" s="873"/>
      <c r="S1095" s="840"/>
      <c r="T1095" s="853"/>
    </row>
    <row r="1096" spans="1:20" s="837" customFormat="1" ht="25.5">
      <c r="A1096" s="915"/>
      <c r="B1096" s="919"/>
      <c r="C1096" s="913"/>
      <c r="D1096" s="126" t="s">
        <v>212</v>
      </c>
      <c r="E1096" s="807" t="s">
        <v>1236</v>
      </c>
      <c r="F1096" s="226"/>
      <c r="G1096" s="116" t="s">
        <v>1470</v>
      </c>
      <c r="H1096" s="119" t="s">
        <v>246</v>
      </c>
      <c r="I1096" s="162">
        <v>4</v>
      </c>
      <c r="J1096" s="161">
        <v>300</v>
      </c>
      <c r="K1096" s="9">
        <f>J1096*$S$3</f>
        <v>393</v>
      </c>
      <c r="L1096" s="161">
        <v>16.8</v>
      </c>
      <c r="M1096" s="9">
        <f t="shared" si="73"/>
        <v>459.02</v>
      </c>
      <c r="N1096" s="948">
        <v>0</v>
      </c>
      <c r="O1096" s="900">
        <f t="shared" si="75"/>
        <v>4</v>
      </c>
      <c r="P1096" s="901">
        <f t="shared" si="74"/>
        <v>1836.08</v>
      </c>
      <c r="Q1096" s="877"/>
      <c r="R1096" s="877" t="s">
        <v>2442</v>
      </c>
      <c r="S1096" s="845"/>
      <c r="T1096" s="858"/>
    </row>
    <row r="1097" spans="1:20" s="344" customFormat="1" ht="25.5">
      <c r="A1097" s="915"/>
      <c r="B1097" s="919"/>
      <c r="C1097" s="913"/>
      <c r="D1097" s="126" t="s">
        <v>211</v>
      </c>
      <c r="E1097" s="805">
        <f>'[3]Plan Tron'!B380</f>
        <v>10414</v>
      </c>
      <c r="F1097" s="805" t="str">
        <f>'[3]Plan Tron'!C380</f>
        <v>SINAPI (INSUMO)</v>
      </c>
      <c r="G1097" s="643" t="str">
        <f>'[3]Plan Tron'!D380</f>
        <v>VALVULA DE RETENCAO VERTICAL, DE BRONZE (PN-16), 3", 200 PSI, EXTREMIDADES COM ROSCA</v>
      </c>
      <c r="H1097" s="805" t="str">
        <f>'[3]Plan Tron'!E380</f>
        <v xml:space="preserve">UN </v>
      </c>
      <c r="I1097" s="162">
        <v>1</v>
      </c>
      <c r="J1097" s="161">
        <v>378.06</v>
      </c>
      <c r="K1097" s="161">
        <f>'[3]Plan Tron'!F380</f>
        <v>174.58</v>
      </c>
      <c r="L1097" s="161">
        <v>16.8</v>
      </c>
      <c r="M1097" s="9">
        <f t="shared" si="73"/>
        <v>203.91</v>
      </c>
      <c r="N1097" s="948">
        <v>0</v>
      </c>
      <c r="O1097" s="900">
        <f t="shared" si="75"/>
        <v>1</v>
      </c>
      <c r="P1097" s="901">
        <f t="shared" si="74"/>
        <v>203.91</v>
      </c>
      <c r="Q1097" s="874"/>
      <c r="R1097" s="874"/>
      <c r="S1097" s="841"/>
      <c r="T1097" s="854"/>
    </row>
    <row r="1098" spans="1:20" s="610" customFormat="1">
      <c r="A1098" s="915"/>
      <c r="B1098" s="919" t="s">
        <v>2457</v>
      </c>
      <c r="C1098" s="913"/>
      <c r="D1098" s="126" t="s">
        <v>208</v>
      </c>
      <c r="E1098" s="940" t="s">
        <v>1888</v>
      </c>
      <c r="F1098" s="941"/>
      <c r="G1098" s="116" t="s">
        <v>1469</v>
      </c>
      <c r="H1098" s="119" t="s">
        <v>246</v>
      </c>
      <c r="I1098" s="162">
        <v>1</v>
      </c>
      <c r="J1098" s="161">
        <v>710.78</v>
      </c>
      <c r="K1098" s="9">
        <f>J1098*$S$3</f>
        <v>931.12180000000001</v>
      </c>
      <c r="L1098" s="161">
        <v>16.8</v>
      </c>
      <c r="M1098" s="9">
        <f t="shared" si="73"/>
        <v>1087.55</v>
      </c>
      <c r="N1098" s="948">
        <v>0</v>
      </c>
      <c r="O1098" s="900">
        <f t="shared" si="75"/>
        <v>1</v>
      </c>
      <c r="P1098" s="901">
        <f t="shared" si="74"/>
        <v>1087.55</v>
      </c>
      <c r="Q1098" s="873"/>
      <c r="R1098" s="873"/>
      <c r="S1098" s="840"/>
      <c r="T1098" s="853"/>
    </row>
    <row r="1099" spans="1:20" s="318" customFormat="1">
      <c r="A1099" s="915"/>
      <c r="B1099" s="919"/>
      <c r="C1099" s="913"/>
      <c r="D1099" s="126" t="s">
        <v>18</v>
      </c>
      <c r="E1099" s="127"/>
      <c r="F1099" s="123"/>
      <c r="G1099" s="116" t="s">
        <v>1392</v>
      </c>
      <c r="H1099" s="227"/>
      <c r="I1099" s="365"/>
      <c r="J1099" s="366"/>
      <c r="K1099" s="366"/>
      <c r="L1099" s="161"/>
      <c r="M1099" s="9"/>
      <c r="N1099" s="948"/>
      <c r="O1099" s="900"/>
      <c r="P1099" s="901"/>
      <c r="Q1099" s="874"/>
      <c r="R1099" s="874"/>
      <c r="S1099" s="841"/>
      <c r="T1099" s="854"/>
    </row>
    <row r="1100" spans="1:20" s="610" customFormat="1" ht="25.5">
      <c r="A1100" s="915"/>
      <c r="B1100" s="919" t="s">
        <v>2457</v>
      </c>
      <c r="C1100" s="913"/>
      <c r="D1100" s="126" t="s">
        <v>201</v>
      </c>
      <c r="E1100" s="940" t="s">
        <v>1914</v>
      </c>
      <c r="F1100" s="941"/>
      <c r="G1100" s="116" t="s">
        <v>1468</v>
      </c>
      <c r="H1100" s="119" t="s">
        <v>246</v>
      </c>
      <c r="I1100" s="162">
        <v>1</v>
      </c>
      <c r="J1100" s="161">
        <v>360</v>
      </c>
      <c r="K1100" s="9">
        <f>J1100*$S$3</f>
        <v>471.6</v>
      </c>
      <c r="L1100" s="161">
        <v>16.8</v>
      </c>
      <c r="M1100" s="9">
        <f t="shared" si="73"/>
        <v>550.83000000000004</v>
      </c>
      <c r="N1100" s="948">
        <v>0</v>
      </c>
      <c r="O1100" s="900">
        <f t="shared" si="75"/>
        <v>1</v>
      </c>
      <c r="P1100" s="901">
        <f t="shared" si="74"/>
        <v>550.83000000000004</v>
      </c>
      <c r="Q1100" s="873"/>
      <c r="R1100" s="873"/>
      <c r="S1100" s="840"/>
      <c r="T1100" s="853"/>
    </row>
    <row r="1101" spans="1:20" s="610" customFormat="1" ht="25.5">
      <c r="A1101" s="915"/>
      <c r="B1101" s="919" t="s">
        <v>2457</v>
      </c>
      <c r="C1101" s="913"/>
      <c r="D1101" s="126" t="s">
        <v>198</v>
      </c>
      <c r="E1101" s="940" t="s">
        <v>1915</v>
      </c>
      <c r="F1101" s="941"/>
      <c r="G1101" s="116" t="s">
        <v>1467</v>
      </c>
      <c r="H1101" s="119" t="s">
        <v>246</v>
      </c>
      <c r="I1101" s="162">
        <v>1</v>
      </c>
      <c r="J1101" s="161">
        <v>672.32</v>
      </c>
      <c r="K1101" s="9">
        <f>J1101*$S$3</f>
        <v>880.7392000000001</v>
      </c>
      <c r="L1101" s="161">
        <v>16.8</v>
      </c>
      <c r="M1101" s="9">
        <f t="shared" si="73"/>
        <v>1028.7</v>
      </c>
      <c r="N1101" s="948">
        <v>0</v>
      </c>
      <c r="O1101" s="900">
        <f t="shared" si="75"/>
        <v>1</v>
      </c>
      <c r="P1101" s="901">
        <f t="shared" si="74"/>
        <v>1028.7</v>
      </c>
      <c r="Q1101" s="873"/>
      <c r="R1101" s="873"/>
      <c r="S1101" s="840"/>
      <c r="T1101" s="853"/>
    </row>
    <row r="1102" spans="1:20" s="610" customFormat="1" ht="25.5">
      <c r="A1102" s="915"/>
      <c r="B1102" s="919" t="s">
        <v>2457</v>
      </c>
      <c r="C1102" s="913"/>
      <c r="D1102" s="126" t="s">
        <v>390</v>
      </c>
      <c r="E1102" s="940" t="s">
        <v>1916</v>
      </c>
      <c r="F1102" s="941"/>
      <c r="G1102" s="116" t="s">
        <v>1466</v>
      </c>
      <c r="H1102" s="119" t="s">
        <v>246</v>
      </c>
      <c r="I1102" s="162">
        <v>1</v>
      </c>
      <c r="J1102" s="161">
        <v>200</v>
      </c>
      <c r="K1102" s="9">
        <f>J1102*$S$3</f>
        <v>262</v>
      </c>
      <c r="L1102" s="161">
        <v>16.8</v>
      </c>
      <c r="M1102" s="9">
        <f t="shared" si="73"/>
        <v>306.02</v>
      </c>
      <c r="N1102" s="948">
        <v>0</v>
      </c>
      <c r="O1102" s="900">
        <f t="shared" si="75"/>
        <v>1</v>
      </c>
      <c r="P1102" s="901">
        <f t="shared" si="74"/>
        <v>306.02</v>
      </c>
      <c r="Q1102" s="873"/>
      <c r="R1102" s="873"/>
      <c r="S1102" s="840"/>
      <c r="T1102" s="853"/>
    </row>
    <row r="1103" spans="1:20" s="610" customFormat="1" ht="25.5">
      <c r="A1103" s="915"/>
      <c r="B1103" s="919" t="s">
        <v>2457</v>
      </c>
      <c r="C1103" s="913"/>
      <c r="D1103" s="126" t="s">
        <v>387</v>
      </c>
      <c r="E1103" s="940" t="s">
        <v>1917</v>
      </c>
      <c r="F1103" s="941"/>
      <c r="G1103" s="116" t="s">
        <v>1465</v>
      </c>
      <c r="H1103" s="119" t="s">
        <v>246</v>
      </c>
      <c r="I1103" s="162">
        <v>1</v>
      </c>
      <c r="J1103" s="161">
        <v>800</v>
      </c>
      <c r="K1103" s="9">
        <f>J1103*$S$3</f>
        <v>1048</v>
      </c>
      <c r="L1103" s="161">
        <v>16.8</v>
      </c>
      <c r="M1103" s="9">
        <f t="shared" si="73"/>
        <v>1224.06</v>
      </c>
      <c r="N1103" s="948">
        <v>0</v>
      </c>
      <c r="O1103" s="900">
        <f t="shared" si="75"/>
        <v>1</v>
      </c>
      <c r="P1103" s="901">
        <f t="shared" si="74"/>
        <v>1224.06</v>
      </c>
      <c r="Q1103" s="873"/>
      <c r="R1103" s="873"/>
      <c r="S1103" s="840"/>
      <c r="T1103" s="853"/>
    </row>
    <row r="1104" spans="1:20" s="318" customFormat="1">
      <c r="A1104" s="915"/>
      <c r="B1104" s="919"/>
      <c r="C1104" s="913"/>
      <c r="D1104" s="126" t="s">
        <v>17</v>
      </c>
      <c r="E1104" s="807"/>
      <c r="F1104" s="226"/>
      <c r="G1104" s="116" t="s">
        <v>1464</v>
      </c>
      <c r="H1104" s="119"/>
      <c r="I1104" s="162"/>
      <c r="J1104" s="161"/>
      <c r="K1104" s="161"/>
      <c r="L1104" s="161"/>
      <c r="M1104" s="9"/>
      <c r="N1104" s="948"/>
      <c r="O1104" s="900"/>
      <c r="P1104" s="901"/>
      <c r="Q1104" s="874"/>
      <c r="R1104" s="874"/>
      <c r="S1104" s="841"/>
      <c r="T1104" s="854"/>
    </row>
    <row r="1105" spans="1:20" s="344" customFormat="1" ht="25.5">
      <c r="A1105" s="915"/>
      <c r="B1105" s="919"/>
      <c r="C1105" s="913"/>
      <c r="D1105" s="126" t="s">
        <v>195</v>
      </c>
      <c r="E1105" s="805">
        <f>'[3]Plan Tron'!B381</f>
        <v>21015</v>
      </c>
      <c r="F1105" s="805" t="str">
        <f>'[3]Plan Tron'!C381</f>
        <v>SINAPI (INSUMO)</v>
      </c>
      <c r="G1105" s="643" t="str">
        <f>'[3]Plan Tron'!D381</f>
        <v>TUBO ACO GALVANIZADO COM COSTURA, CLASSE LEVE, DN 80 MM ( 3"), E = 3,35 MM, *7,32* KG/M (NBR 5580)</v>
      </c>
      <c r="H1105" s="805" t="str">
        <f>'[3]Plan Tron'!E381</f>
        <v xml:space="preserve">UN </v>
      </c>
      <c r="I1105" s="162">
        <v>0.31</v>
      </c>
      <c r="J1105" s="161">
        <f>ROUND(60.71,2)</f>
        <v>60.71</v>
      </c>
      <c r="K1105" s="161">
        <f>'[3]Plan Tron'!F381</f>
        <v>54.19</v>
      </c>
      <c r="L1105" s="161">
        <v>16.8</v>
      </c>
      <c r="M1105" s="9">
        <f t="shared" ref="M1105:M1168" si="76">ROUND(K1105*(L1105/100+1),2)</f>
        <v>63.29</v>
      </c>
      <c r="N1105" s="948">
        <v>0</v>
      </c>
      <c r="O1105" s="900">
        <f t="shared" si="75"/>
        <v>0.31</v>
      </c>
      <c r="P1105" s="901">
        <f t="shared" ref="P1105:P1168" si="77">ROUND(O1105*M1105,2)</f>
        <v>19.62</v>
      </c>
      <c r="Q1105" s="874"/>
      <c r="R1105" s="874"/>
      <c r="S1105" s="841"/>
      <c r="T1105" s="854"/>
    </row>
    <row r="1106" spans="1:20" s="344" customFormat="1" ht="25.5">
      <c r="A1106" s="915"/>
      <c r="B1106" s="919"/>
      <c r="C1106" s="913"/>
      <c r="D1106" s="126" t="s">
        <v>192</v>
      </c>
      <c r="E1106" s="805">
        <f>'[3]Plan Tron'!B382</f>
        <v>21015</v>
      </c>
      <c r="F1106" s="805" t="str">
        <f>'[3]Plan Tron'!C382</f>
        <v>SINAPI (INSUMO)</v>
      </c>
      <c r="G1106" s="643" t="str">
        <f>'[3]Plan Tron'!D382</f>
        <v>TUBO ACO GALVANIZADO COM COSTURA, CLASSE LEVE, DN 75 MM ( 3"), E = 3,35 MM, *7,32* KG/M (NBR 5580)</v>
      </c>
      <c r="H1106" s="805" t="str">
        <f>'[3]Plan Tron'!E382</f>
        <v xml:space="preserve">UN </v>
      </c>
      <c r="I1106" s="162">
        <f>6*0.12</f>
        <v>0.72</v>
      </c>
      <c r="J1106" s="161">
        <f>J1105</f>
        <v>60.71</v>
      </c>
      <c r="K1106" s="161">
        <f>'[3]Plan Tron'!F382</f>
        <v>54.19</v>
      </c>
      <c r="L1106" s="161">
        <v>16.8</v>
      </c>
      <c r="M1106" s="9">
        <f t="shared" si="76"/>
        <v>63.29</v>
      </c>
      <c r="N1106" s="948">
        <v>0</v>
      </c>
      <c r="O1106" s="900">
        <f t="shared" si="75"/>
        <v>0.72</v>
      </c>
      <c r="P1106" s="901">
        <f t="shared" si="77"/>
        <v>45.57</v>
      </c>
      <c r="Q1106" s="874"/>
      <c r="R1106" s="874"/>
      <c r="S1106" s="841"/>
      <c r="T1106" s="854"/>
    </row>
    <row r="1107" spans="1:20" s="318" customFormat="1">
      <c r="A1107" s="915"/>
      <c r="B1107" s="919"/>
      <c r="C1107" s="913"/>
      <c r="D1107" s="126"/>
      <c r="E1107" s="940"/>
      <c r="F1107" s="941"/>
      <c r="G1107" s="116"/>
      <c r="H1107" s="119"/>
      <c r="I1107" s="162"/>
      <c r="J1107" s="161"/>
      <c r="K1107" s="161"/>
      <c r="L1107" s="161"/>
      <c r="M1107" s="9"/>
      <c r="N1107" s="948"/>
      <c r="O1107" s="900"/>
      <c r="P1107" s="901"/>
      <c r="Q1107" s="874"/>
      <c r="R1107" s="874"/>
      <c r="S1107" s="841"/>
      <c r="T1107" s="854"/>
    </row>
    <row r="1108" spans="1:20" s="318" customFormat="1">
      <c r="A1108" s="915"/>
      <c r="B1108" s="919"/>
      <c r="C1108" s="913"/>
      <c r="D1108" s="126"/>
      <c r="E1108" s="940"/>
      <c r="F1108" s="941"/>
      <c r="G1108" s="116"/>
      <c r="H1108" s="119"/>
      <c r="I1108" s="162"/>
      <c r="J1108" s="161"/>
      <c r="K1108" s="161"/>
      <c r="L1108" s="161"/>
      <c r="M1108" s="9"/>
      <c r="N1108" s="948"/>
      <c r="O1108" s="900"/>
      <c r="P1108" s="901"/>
      <c r="Q1108" s="874"/>
      <c r="R1108" s="874"/>
      <c r="S1108" s="841"/>
      <c r="T1108" s="854"/>
    </row>
    <row r="1109" spans="1:20" s="308" customFormat="1" ht="25.5">
      <c r="A1109" s="915"/>
      <c r="B1109" s="919" t="s">
        <v>2457</v>
      </c>
      <c r="C1109" s="913"/>
      <c r="D1109" s="126" t="s">
        <v>280</v>
      </c>
      <c r="E1109" s="805">
        <f>E1105</f>
        <v>21015</v>
      </c>
      <c r="F1109" s="805" t="s">
        <v>2017</v>
      </c>
      <c r="G1109" s="116" t="s">
        <v>1463</v>
      </c>
      <c r="H1109" s="119" t="s">
        <v>110</v>
      </c>
      <c r="I1109" s="162">
        <v>3</v>
      </c>
      <c r="J1109" s="161">
        <f>J1105</f>
        <v>60.71</v>
      </c>
      <c r="K1109" s="161">
        <f>K1106</f>
        <v>54.19</v>
      </c>
      <c r="L1109" s="161">
        <v>16.8</v>
      </c>
      <c r="M1109" s="9">
        <f t="shared" si="76"/>
        <v>63.29</v>
      </c>
      <c r="N1109" s="948">
        <v>0</v>
      </c>
      <c r="O1109" s="900">
        <f t="shared" si="75"/>
        <v>3</v>
      </c>
      <c r="P1109" s="901">
        <f t="shared" si="77"/>
        <v>189.87</v>
      </c>
      <c r="Q1109" s="878"/>
      <c r="R1109" s="878"/>
      <c r="S1109" s="846"/>
      <c r="T1109" s="859"/>
    </row>
    <row r="1110" spans="1:20" s="308" customFormat="1" ht="25.5">
      <c r="A1110" s="915"/>
      <c r="B1110" s="919" t="s">
        <v>2457</v>
      </c>
      <c r="C1110" s="913"/>
      <c r="D1110" s="126" t="s">
        <v>277</v>
      </c>
      <c r="E1110" s="805">
        <f>E1106</f>
        <v>21015</v>
      </c>
      <c r="F1110" s="805" t="s">
        <v>2017</v>
      </c>
      <c r="G1110" s="116" t="s">
        <v>1462</v>
      </c>
      <c r="H1110" s="119" t="s">
        <v>110</v>
      </c>
      <c r="I1110" s="162">
        <v>1.9</v>
      </c>
      <c r="J1110" s="161">
        <f>J1105</f>
        <v>60.71</v>
      </c>
      <c r="K1110" s="161">
        <f>K1106</f>
        <v>54.19</v>
      </c>
      <c r="L1110" s="161">
        <v>16.8</v>
      </c>
      <c r="M1110" s="9">
        <f t="shared" si="76"/>
        <v>63.29</v>
      </c>
      <c r="N1110" s="948">
        <v>0</v>
      </c>
      <c r="O1110" s="900">
        <f t="shared" si="75"/>
        <v>1.9</v>
      </c>
      <c r="P1110" s="901">
        <f t="shared" si="77"/>
        <v>120.25</v>
      </c>
      <c r="Q1110" s="878"/>
      <c r="R1110" s="878"/>
      <c r="S1110" s="846"/>
      <c r="T1110" s="859"/>
    </row>
    <row r="1111" spans="1:20" s="308" customFormat="1" ht="25.5">
      <c r="A1111" s="915"/>
      <c r="B1111" s="919" t="s">
        <v>2457</v>
      </c>
      <c r="C1111" s="913"/>
      <c r="D1111" s="126" t="s">
        <v>275</v>
      </c>
      <c r="E1111" s="805">
        <f>E1105</f>
        <v>21015</v>
      </c>
      <c r="F1111" s="805" t="s">
        <v>2017</v>
      </c>
      <c r="G1111" s="116" t="s">
        <v>1461</v>
      </c>
      <c r="H1111" s="119" t="s">
        <v>110</v>
      </c>
      <c r="I1111" s="162">
        <v>3.6</v>
      </c>
      <c r="J1111" s="161">
        <f>J1105</f>
        <v>60.71</v>
      </c>
      <c r="K1111" s="161">
        <f>K1106</f>
        <v>54.19</v>
      </c>
      <c r="L1111" s="161">
        <v>16.8</v>
      </c>
      <c r="M1111" s="9">
        <f t="shared" si="76"/>
        <v>63.29</v>
      </c>
      <c r="N1111" s="948">
        <v>0</v>
      </c>
      <c r="O1111" s="900">
        <f t="shared" si="75"/>
        <v>3.6</v>
      </c>
      <c r="P1111" s="901">
        <f t="shared" si="77"/>
        <v>227.84</v>
      </c>
      <c r="Q1111" s="878"/>
      <c r="R1111" s="878"/>
      <c r="S1111" s="846"/>
      <c r="T1111" s="859"/>
    </row>
    <row r="1112" spans="1:20" s="308" customFormat="1" ht="25.5">
      <c r="A1112" s="915"/>
      <c r="B1112" s="919" t="s">
        <v>2457</v>
      </c>
      <c r="C1112" s="913"/>
      <c r="D1112" s="126" t="s">
        <v>274</v>
      </c>
      <c r="E1112" s="805">
        <f>E1106</f>
        <v>21015</v>
      </c>
      <c r="F1112" s="805" t="s">
        <v>2017</v>
      </c>
      <c r="G1112" s="116" t="s">
        <v>1460</v>
      </c>
      <c r="H1112" s="119" t="s">
        <v>110</v>
      </c>
      <c r="I1112" s="162">
        <v>0.95</v>
      </c>
      <c r="J1112" s="161">
        <f>J1105</f>
        <v>60.71</v>
      </c>
      <c r="K1112" s="161">
        <f>K1106</f>
        <v>54.19</v>
      </c>
      <c r="L1112" s="161">
        <v>16.8</v>
      </c>
      <c r="M1112" s="9">
        <f t="shared" si="76"/>
        <v>63.29</v>
      </c>
      <c r="N1112" s="948">
        <v>0</v>
      </c>
      <c r="O1112" s="900">
        <f t="shared" si="75"/>
        <v>0.95</v>
      </c>
      <c r="P1112" s="901">
        <f t="shared" si="77"/>
        <v>60.13</v>
      </c>
      <c r="Q1112" s="878"/>
      <c r="R1112" s="878"/>
      <c r="S1112" s="846"/>
      <c r="T1112" s="859"/>
    </row>
    <row r="1113" spans="1:20" s="308" customFormat="1" ht="25.5">
      <c r="A1113" s="915"/>
      <c r="B1113" s="919" t="s">
        <v>2457</v>
      </c>
      <c r="C1113" s="913"/>
      <c r="D1113" s="126" t="s">
        <v>272</v>
      </c>
      <c r="E1113" s="805">
        <f>E1106</f>
        <v>21015</v>
      </c>
      <c r="F1113" s="805" t="s">
        <v>2017</v>
      </c>
      <c r="G1113" s="116" t="s">
        <v>1459</v>
      </c>
      <c r="H1113" s="119" t="s">
        <v>110</v>
      </c>
      <c r="I1113" s="162">
        <v>0.25</v>
      </c>
      <c r="J1113" s="161">
        <f>J1105</f>
        <v>60.71</v>
      </c>
      <c r="K1113" s="161">
        <f>K1106</f>
        <v>54.19</v>
      </c>
      <c r="L1113" s="161">
        <v>16.8</v>
      </c>
      <c r="M1113" s="9">
        <f t="shared" si="76"/>
        <v>63.29</v>
      </c>
      <c r="N1113" s="948">
        <v>0</v>
      </c>
      <c r="O1113" s="900">
        <f t="shared" si="75"/>
        <v>0.25</v>
      </c>
      <c r="P1113" s="901">
        <f t="shared" si="77"/>
        <v>15.82</v>
      </c>
      <c r="Q1113" s="878"/>
      <c r="R1113" s="878"/>
      <c r="S1113" s="846"/>
      <c r="T1113" s="859"/>
    </row>
    <row r="1114" spans="1:20" s="318" customFormat="1">
      <c r="A1114" s="915"/>
      <c r="B1114" s="919"/>
      <c r="C1114" s="913"/>
      <c r="D1114" s="126" t="s">
        <v>16</v>
      </c>
      <c r="E1114" s="127"/>
      <c r="F1114" s="123"/>
      <c r="G1114" s="116" t="s">
        <v>335</v>
      </c>
      <c r="H1114" s="227"/>
      <c r="I1114" s="365"/>
      <c r="J1114" s="366"/>
      <c r="K1114" s="366"/>
      <c r="L1114" s="161"/>
      <c r="M1114" s="9"/>
      <c r="N1114" s="948"/>
      <c r="O1114" s="900"/>
      <c r="P1114" s="901"/>
      <c r="Q1114" s="874"/>
      <c r="R1114" s="874"/>
      <c r="S1114" s="841"/>
      <c r="T1114" s="854"/>
    </row>
    <row r="1115" spans="1:20" s="610" customFormat="1" ht="25.5">
      <c r="A1115" s="915"/>
      <c r="B1115" s="919" t="s">
        <v>2457</v>
      </c>
      <c r="C1115" s="913"/>
      <c r="D1115" s="126" t="s">
        <v>270</v>
      </c>
      <c r="E1115" s="940" t="s">
        <v>1918</v>
      </c>
      <c r="F1115" s="941"/>
      <c r="G1115" s="116" t="s">
        <v>1458</v>
      </c>
      <c r="H1115" s="119" t="s">
        <v>246</v>
      </c>
      <c r="I1115" s="162">
        <v>1</v>
      </c>
      <c r="J1115" s="161">
        <v>360</v>
      </c>
      <c r="K1115" s="9">
        <f t="shared" ref="K1115:K1120" si="78">J1115*$S$3</f>
        <v>471.6</v>
      </c>
      <c r="L1115" s="161">
        <v>16.8</v>
      </c>
      <c r="M1115" s="9">
        <f t="shared" si="76"/>
        <v>550.83000000000004</v>
      </c>
      <c r="N1115" s="948">
        <v>0</v>
      </c>
      <c r="O1115" s="900">
        <f t="shared" si="75"/>
        <v>1</v>
      </c>
      <c r="P1115" s="901">
        <f t="shared" si="77"/>
        <v>550.83000000000004</v>
      </c>
      <c r="Q1115" s="873"/>
      <c r="R1115" s="873"/>
      <c r="S1115" s="840"/>
      <c r="T1115" s="853"/>
    </row>
    <row r="1116" spans="1:20" s="610" customFormat="1" ht="25.5">
      <c r="A1116" s="915"/>
      <c r="B1116" s="919" t="s">
        <v>2457</v>
      </c>
      <c r="C1116" s="913"/>
      <c r="D1116" s="126" t="s">
        <v>369</v>
      </c>
      <c r="E1116" s="807" t="s">
        <v>1456</v>
      </c>
      <c r="F1116" s="226"/>
      <c r="G1116" s="116" t="s">
        <v>1457</v>
      </c>
      <c r="H1116" s="119" t="s">
        <v>246</v>
      </c>
      <c r="I1116" s="162">
        <v>7</v>
      </c>
      <c r="J1116" s="161">
        <v>127.25</v>
      </c>
      <c r="K1116" s="9">
        <f t="shared" si="78"/>
        <v>166.69750000000002</v>
      </c>
      <c r="L1116" s="161">
        <v>16.8</v>
      </c>
      <c r="M1116" s="9">
        <f t="shared" si="76"/>
        <v>194.7</v>
      </c>
      <c r="N1116" s="948">
        <v>0</v>
      </c>
      <c r="O1116" s="900">
        <f t="shared" si="75"/>
        <v>7</v>
      </c>
      <c r="P1116" s="901">
        <f t="shared" si="77"/>
        <v>1362.9</v>
      </c>
      <c r="Q1116" s="873"/>
      <c r="R1116" s="873"/>
      <c r="S1116" s="840"/>
      <c r="T1116" s="853"/>
    </row>
    <row r="1117" spans="1:20" s="610" customFormat="1">
      <c r="A1117" s="915"/>
      <c r="B1117" s="919" t="s">
        <v>2457</v>
      </c>
      <c r="C1117" s="913"/>
      <c r="D1117" s="126" t="s">
        <v>367</v>
      </c>
      <c r="E1117" s="807" t="s">
        <v>1326</v>
      </c>
      <c r="F1117" s="226"/>
      <c r="G1117" s="116" t="s">
        <v>1455</v>
      </c>
      <c r="H1117" s="119" t="s">
        <v>246</v>
      </c>
      <c r="I1117" s="162">
        <v>2</v>
      </c>
      <c r="J1117" s="161">
        <v>163.44</v>
      </c>
      <c r="K1117" s="9">
        <f t="shared" si="78"/>
        <v>214.10640000000001</v>
      </c>
      <c r="L1117" s="161">
        <v>16.8</v>
      </c>
      <c r="M1117" s="9">
        <f t="shared" si="76"/>
        <v>250.08</v>
      </c>
      <c r="N1117" s="948">
        <v>0</v>
      </c>
      <c r="O1117" s="900">
        <f t="shared" si="75"/>
        <v>2</v>
      </c>
      <c r="P1117" s="901">
        <f t="shared" si="77"/>
        <v>500.16</v>
      </c>
      <c r="Q1117" s="873"/>
      <c r="R1117" s="873"/>
      <c r="S1117" s="840"/>
      <c r="T1117" s="853"/>
    </row>
    <row r="1118" spans="1:20" s="610" customFormat="1" ht="25.5">
      <c r="A1118" s="915"/>
      <c r="B1118" s="919" t="s">
        <v>2457</v>
      </c>
      <c r="C1118" s="913"/>
      <c r="D1118" s="126" t="s">
        <v>365</v>
      </c>
      <c r="E1118" s="807" t="s">
        <v>1453</v>
      </c>
      <c r="F1118" s="226"/>
      <c r="G1118" s="116" t="s">
        <v>1454</v>
      </c>
      <c r="H1118" s="119" t="s">
        <v>246</v>
      </c>
      <c r="I1118" s="162">
        <v>4</v>
      </c>
      <c r="J1118" s="161">
        <v>106.23</v>
      </c>
      <c r="K1118" s="9">
        <f t="shared" si="78"/>
        <v>139.16130000000001</v>
      </c>
      <c r="L1118" s="161">
        <v>16.8</v>
      </c>
      <c r="M1118" s="9">
        <f t="shared" si="76"/>
        <v>162.54</v>
      </c>
      <c r="N1118" s="948">
        <v>0</v>
      </c>
      <c r="O1118" s="900">
        <f t="shared" si="75"/>
        <v>4</v>
      </c>
      <c r="P1118" s="901">
        <f t="shared" si="77"/>
        <v>650.16</v>
      </c>
      <c r="Q1118" s="873"/>
      <c r="R1118" s="873"/>
      <c r="S1118" s="840"/>
      <c r="T1118" s="853"/>
    </row>
    <row r="1119" spans="1:20" s="610" customFormat="1" ht="25.5">
      <c r="A1119" s="915"/>
      <c r="B1119" s="919" t="s">
        <v>2457</v>
      </c>
      <c r="C1119" s="913"/>
      <c r="D1119" s="126" t="s">
        <v>1045</v>
      </c>
      <c r="E1119" s="807" t="s">
        <v>584</v>
      </c>
      <c r="F1119" s="226"/>
      <c r="G1119" s="116" t="s">
        <v>585</v>
      </c>
      <c r="H1119" s="119" t="s">
        <v>246</v>
      </c>
      <c r="I1119" s="162">
        <v>4</v>
      </c>
      <c r="J1119" s="161">
        <v>47.56</v>
      </c>
      <c r="K1119" s="9">
        <f t="shared" si="78"/>
        <v>62.303600000000003</v>
      </c>
      <c r="L1119" s="161">
        <v>16.8</v>
      </c>
      <c r="M1119" s="9">
        <f t="shared" si="76"/>
        <v>72.77</v>
      </c>
      <c r="N1119" s="948">
        <v>0</v>
      </c>
      <c r="O1119" s="900">
        <f t="shared" si="75"/>
        <v>4</v>
      </c>
      <c r="P1119" s="901">
        <f t="shared" si="77"/>
        <v>291.08</v>
      </c>
      <c r="Q1119" s="873"/>
      <c r="R1119" s="873"/>
      <c r="S1119" s="840"/>
      <c r="T1119" s="853"/>
    </row>
    <row r="1120" spans="1:20" s="610" customFormat="1" ht="25.5">
      <c r="A1120" s="915"/>
      <c r="B1120" s="919" t="s">
        <v>2457</v>
      </c>
      <c r="C1120" s="913"/>
      <c r="D1120" s="126" t="s">
        <v>1043</v>
      </c>
      <c r="E1120" s="807" t="s">
        <v>1200</v>
      </c>
      <c r="F1120" s="226"/>
      <c r="G1120" s="116" t="s">
        <v>1201</v>
      </c>
      <c r="H1120" s="119" t="s">
        <v>246</v>
      </c>
      <c r="I1120" s="162">
        <v>23</v>
      </c>
      <c r="J1120" s="161">
        <v>58.27</v>
      </c>
      <c r="K1120" s="9">
        <f t="shared" si="78"/>
        <v>76.333700000000007</v>
      </c>
      <c r="L1120" s="161">
        <v>16.8</v>
      </c>
      <c r="M1120" s="9">
        <f t="shared" si="76"/>
        <v>89.16</v>
      </c>
      <c r="N1120" s="948">
        <v>0</v>
      </c>
      <c r="O1120" s="900">
        <f t="shared" si="75"/>
        <v>23</v>
      </c>
      <c r="P1120" s="901">
        <f t="shared" si="77"/>
        <v>2050.6799999999998</v>
      </c>
      <c r="Q1120" s="873"/>
      <c r="R1120" s="873"/>
      <c r="S1120" s="840"/>
      <c r="T1120" s="853"/>
    </row>
    <row r="1121" spans="1:20" s="318" customFormat="1">
      <c r="A1121" s="915"/>
      <c r="B1121" s="919"/>
      <c r="C1121" s="913"/>
      <c r="D1121" s="126" t="s">
        <v>15</v>
      </c>
      <c r="E1121" s="807"/>
      <c r="F1121" s="226"/>
      <c r="G1121" s="116" t="s">
        <v>1186</v>
      </c>
      <c r="H1121" s="119"/>
      <c r="I1121" s="162"/>
      <c r="J1121" s="161"/>
      <c r="K1121" s="161"/>
      <c r="L1121" s="161"/>
      <c r="M1121" s="9"/>
      <c r="N1121" s="948"/>
      <c r="O1121" s="900"/>
      <c r="P1121" s="901"/>
      <c r="Q1121" s="874"/>
      <c r="R1121" s="874"/>
      <c r="S1121" s="841"/>
      <c r="T1121" s="854"/>
    </row>
    <row r="1122" spans="1:20" s="610" customFormat="1">
      <c r="A1122" s="915"/>
      <c r="B1122" s="919" t="s">
        <v>2457</v>
      </c>
      <c r="C1122" s="913"/>
      <c r="D1122" s="126" t="s">
        <v>249</v>
      </c>
      <c r="E1122" s="940" t="s">
        <v>1919</v>
      </c>
      <c r="F1122" s="941"/>
      <c r="G1122" s="116" t="s">
        <v>1452</v>
      </c>
      <c r="H1122" s="119" t="s">
        <v>246</v>
      </c>
      <c r="I1122" s="162">
        <v>5</v>
      </c>
      <c r="J1122" s="161">
        <v>400</v>
      </c>
      <c r="K1122" s="9">
        <f>J1122*$S$3</f>
        <v>524</v>
      </c>
      <c r="L1122" s="161">
        <v>16.8</v>
      </c>
      <c r="M1122" s="9">
        <f t="shared" si="76"/>
        <v>612.03</v>
      </c>
      <c r="N1122" s="948">
        <v>0</v>
      </c>
      <c r="O1122" s="900">
        <f t="shared" si="75"/>
        <v>5</v>
      </c>
      <c r="P1122" s="901">
        <f t="shared" si="77"/>
        <v>3060.15</v>
      </c>
      <c r="Q1122" s="873"/>
      <c r="R1122" s="873"/>
      <c r="S1122" s="840"/>
      <c r="T1122" s="853"/>
    </row>
    <row r="1123" spans="1:20" s="344" customFormat="1" ht="25.5">
      <c r="A1123" s="915"/>
      <c r="B1123" s="919"/>
      <c r="C1123" s="913"/>
      <c r="D1123" s="126" t="s">
        <v>265</v>
      </c>
      <c r="E1123" s="805">
        <f>'[3]Plan Tron'!B383</f>
        <v>12429</v>
      </c>
      <c r="F1123" s="805" t="str">
        <f>'[3]Plan Tron'!C383</f>
        <v>SINAPI (INSUMO)</v>
      </c>
      <c r="G1123" s="643" t="str">
        <f>'[3]Plan Tron'!D383</f>
        <v xml:space="preserve">UNIAO COM ASSENTO CONICO DE BRONZE, DIAMETRO 3" </v>
      </c>
      <c r="H1123" s="805" t="str">
        <f>'[3]Plan Tron'!E383</f>
        <v xml:space="preserve">UN </v>
      </c>
      <c r="I1123" s="162">
        <v>5</v>
      </c>
      <c r="J1123" s="161">
        <v>203.58</v>
      </c>
      <c r="K1123" s="161">
        <f>'[3]Plan Tron'!F383</f>
        <v>232.28</v>
      </c>
      <c r="L1123" s="161">
        <v>16.8</v>
      </c>
      <c r="M1123" s="9">
        <f t="shared" si="76"/>
        <v>271.3</v>
      </c>
      <c r="N1123" s="948">
        <v>0</v>
      </c>
      <c r="O1123" s="900">
        <f t="shared" ref="O1123:O1186" si="79">I1123-N1123</f>
        <v>5</v>
      </c>
      <c r="P1123" s="901">
        <f t="shared" si="77"/>
        <v>1356.5</v>
      </c>
      <c r="Q1123" s="874"/>
      <c r="R1123" s="874"/>
      <c r="S1123" s="841"/>
      <c r="T1123" s="854"/>
    </row>
    <row r="1124" spans="1:20" s="318" customFormat="1">
      <c r="A1124" s="915"/>
      <c r="B1124" s="919"/>
      <c r="C1124" s="913"/>
      <c r="D1124" s="126" t="s">
        <v>14</v>
      </c>
      <c r="E1124" s="127"/>
      <c r="F1124" s="123"/>
      <c r="G1124" s="116" t="s">
        <v>460</v>
      </c>
      <c r="H1124" s="227"/>
      <c r="I1124" s="365"/>
      <c r="J1124" s="356"/>
      <c r="K1124" s="356"/>
      <c r="L1124" s="161"/>
      <c r="M1124" s="9"/>
      <c r="N1124" s="948"/>
      <c r="O1124" s="900"/>
      <c r="P1124" s="901"/>
      <c r="Q1124" s="874"/>
      <c r="R1124" s="874"/>
      <c r="S1124" s="841"/>
      <c r="T1124" s="854"/>
    </row>
    <row r="1125" spans="1:20" s="610" customFormat="1">
      <c r="A1125" s="915"/>
      <c r="B1125" s="919"/>
      <c r="C1125" s="913"/>
      <c r="D1125" s="126" t="s">
        <v>181</v>
      </c>
      <c r="E1125" s="940" t="s">
        <v>1450</v>
      </c>
      <c r="F1125" s="941"/>
      <c r="G1125" s="116" t="s">
        <v>1451</v>
      </c>
      <c r="H1125" s="119" t="s">
        <v>246</v>
      </c>
      <c r="I1125" s="162">
        <v>1</v>
      </c>
      <c r="J1125" s="120">
        <v>3424.12</v>
      </c>
      <c r="K1125" s="9">
        <f>J1125*$S$3</f>
        <v>4485.5972000000002</v>
      </c>
      <c r="L1125" s="161">
        <v>16.8</v>
      </c>
      <c r="M1125" s="9">
        <f t="shared" si="76"/>
        <v>5239.18</v>
      </c>
      <c r="N1125" s="948">
        <v>0</v>
      </c>
      <c r="O1125" s="900">
        <f t="shared" si="79"/>
        <v>1</v>
      </c>
      <c r="P1125" s="901">
        <f t="shared" si="77"/>
        <v>5239.18</v>
      </c>
      <c r="Q1125" s="873"/>
      <c r="R1125" s="873"/>
      <c r="S1125" s="840"/>
      <c r="T1125" s="853"/>
    </row>
    <row r="1126" spans="1:20" s="610" customFormat="1">
      <c r="A1126" s="915"/>
      <c r="B1126" s="919"/>
      <c r="C1126" s="913"/>
      <c r="D1126" s="126" t="s">
        <v>180</v>
      </c>
      <c r="E1126" s="940" t="s">
        <v>362</v>
      </c>
      <c r="F1126" s="941"/>
      <c r="G1126" s="116" t="s">
        <v>1449</v>
      </c>
      <c r="H1126" s="119" t="s">
        <v>110</v>
      </c>
      <c r="I1126" s="162">
        <v>2.2999999999999998</v>
      </c>
      <c r="J1126" s="120">
        <v>213.12</v>
      </c>
      <c r="K1126" s="9">
        <f>J1126*$S$3</f>
        <v>279.18720000000002</v>
      </c>
      <c r="L1126" s="161">
        <v>16.8</v>
      </c>
      <c r="M1126" s="9">
        <f t="shared" si="76"/>
        <v>326.08999999999997</v>
      </c>
      <c r="N1126" s="948">
        <v>0</v>
      </c>
      <c r="O1126" s="900">
        <f t="shared" si="79"/>
        <v>2.2999999999999998</v>
      </c>
      <c r="P1126" s="901">
        <f t="shared" si="77"/>
        <v>750.01</v>
      </c>
      <c r="Q1126" s="873"/>
      <c r="R1126" s="873"/>
      <c r="S1126" s="840"/>
      <c r="T1126" s="853"/>
    </row>
    <row r="1127" spans="1:20" s="610" customFormat="1" ht="25.5">
      <c r="A1127" s="915"/>
      <c r="B1127" s="919"/>
      <c r="C1127" s="913"/>
      <c r="D1127" s="126" t="s">
        <v>179</v>
      </c>
      <c r="E1127" s="940" t="s">
        <v>1364</v>
      </c>
      <c r="F1127" s="941"/>
      <c r="G1127" s="116" t="s">
        <v>1448</v>
      </c>
      <c r="H1127" s="119" t="s">
        <v>71</v>
      </c>
      <c r="I1127" s="162">
        <f>0.56*0.28*2</f>
        <v>0.31360000000000005</v>
      </c>
      <c r="J1127" s="161">
        <v>609.08000000000004</v>
      </c>
      <c r="K1127" s="9">
        <f>J1127*$S$3</f>
        <v>797.89480000000003</v>
      </c>
      <c r="L1127" s="161">
        <v>16.8</v>
      </c>
      <c r="M1127" s="9">
        <f t="shared" si="76"/>
        <v>931.94</v>
      </c>
      <c r="N1127" s="948">
        <v>0</v>
      </c>
      <c r="O1127" s="900">
        <f t="shared" si="79"/>
        <v>0.31360000000000005</v>
      </c>
      <c r="P1127" s="901">
        <f t="shared" si="77"/>
        <v>292.26</v>
      </c>
      <c r="Q1127" s="873"/>
      <c r="R1127" s="873"/>
      <c r="S1127" s="840"/>
      <c r="T1127" s="853"/>
    </row>
    <row r="1128" spans="1:20" s="318" customFormat="1">
      <c r="A1128" s="915"/>
      <c r="B1128" s="919"/>
      <c r="C1128" s="913"/>
      <c r="D1128" s="126" t="s">
        <v>13</v>
      </c>
      <c r="E1128" s="127"/>
      <c r="F1128" s="123"/>
      <c r="G1128" s="116" t="s">
        <v>889</v>
      </c>
      <c r="H1128" s="119"/>
      <c r="I1128" s="162"/>
      <c r="J1128" s="161"/>
      <c r="K1128" s="161"/>
      <c r="L1128" s="161"/>
      <c r="M1128" s="9"/>
      <c r="N1128" s="948"/>
      <c r="O1128" s="900"/>
      <c r="P1128" s="901"/>
      <c r="Q1128" s="874"/>
      <c r="R1128" s="874"/>
      <c r="S1128" s="841"/>
      <c r="T1128" s="854"/>
    </row>
    <row r="1129" spans="1:20" s="610" customFormat="1" ht="25.5">
      <c r="A1129" s="915"/>
      <c r="B1129" s="919"/>
      <c r="C1129" s="913"/>
      <c r="D1129" s="126" t="s">
        <v>167</v>
      </c>
      <c r="E1129" s="940" t="s">
        <v>1446</v>
      </c>
      <c r="F1129" s="941"/>
      <c r="G1129" s="116" t="s">
        <v>1447</v>
      </c>
      <c r="H1129" s="119" t="s">
        <v>246</v>
      </c>
      <c r="I1129" s="162">
        <v>2</v>
      </c>
      <c r="J1129" s="161">
        <v>139.12999999999997</v>
      </c>
      <c r="K1129" s="9">
        <f>J1129*$S$3</f>
        <v>182.26029999999997</v>
      </c>
      <c r="L1129" s="161">
        <v>16.8</v>
      </c>
      <c r="M1129" s="9">
        <f t="shared" si="76"/>
        <v>212.88</v>
      </c>
      <c r="N1129" s="948">
        <v>0</v>
      </c>
      <c r="O1129" s="900">
        <f t="shared" si="79"/>
        <v>2</v>
      </c>
      <c r="P1129" s="901">
        <f t="shared" si="77"/>
        <v>425.76</v>
      </c>
      <c r="Q1129" s="873"/>
      <c r="R1129" s="873"/>
      <c r="S1129" s="840"/>
      <c r="T1129" s="853"/>
    </row>
    <row r="1130" spans="1:20" s="800" customFormat="1" ht="25.5">
      <c r="A1130" s="915"/>
      <c r="B1130" s="919"/>
      <c r="C1130" s="913"/>
      <c r="D1130" s="126" t="s">
        <v>166</v>
      </c>
      <c r="E1130" s="823" t="s">
        <v>1444</v>
      </c>
      <c r="F1130" s="805" t="s">
        <v>2017</v>
      </c>
      <c r="G1130" s="116" t="s">
        <v>1445</v>
      </c>
      <c r="H1130" s="119" t="s">
        <v>326</v>
      </c>
      <c r="I1130" s="162">
        <v>1</v>
      </c>
      <c r="J1130" s="161">
        <v>3.27</v>
      </c>
      <c r="K1130" s="9">
        <f>J1130*$S$3</f>
        <v>4.2837000000000005</v>
      </c>
      <c r="L1130" s="161">
        <v>16.8</v>
      </c>
      <c r="M1130" s="9">
        <f t="shared" si="76"/>
        <v>5</v>
      </c>
      <c r="N1130" s="948">
        <v>0</v>
      </c>
      <c r="O1130" s="900">
        <f t="shared" si="79"/>
        <v>1</v>
      </c>
      <c r="P1130" s="901">
        <f t="shared" si="77"/>
        <v>5</v>
      </c>
      <c r="Q1130" s="875"/>
      <c r="R1130" s="875"/>
      <c r="S1130" s="844"/>
      <c r="T1130" s="857"/>
    </row>
    <row r="1131" spans="1:20" s="318" customFormat="1">
      <c r="A1131" s="915"/>
      <c r="B1131" s="919"/>
      <c r="C1131" s="913"/>
      <c r="D1131" s="126"/>
      <c r="E1131" s="127"/>
      <c r="F1131" s="124"/>
      <c r="G1131" s="116"/>
      <c r="H1131" s="119"/>
      <c r="I1131" s="162"/>
      <c r="J1131" s="161"/>
      <c r="K1131" s="161"/>
      <c r="L1131" s="161"/>
      <c r="M1131" s="9"/>
      <c r="N1131" s="926"/>
      <c r="O1131" s="900"/>
      <c r="P1131" s="901"/>
      <c r="Q1131" s="874"/>
      <c r="R1131" s="874"/>
      <c r="S1131" s="841"/>
      <c r="T1131" s="854"/>
    </row>
    <row r="1132" spans="1:20" s="318" customFormat="1">
      <c r="A1132" s="915"/>
      <c r="B1132" s="919"/>
      <c r="C1132" s="913"/>
      <c r="D1132" s="230"/>
      <c r="E1132" s="127"/>
      <c r="F1132" s="127"/>
      <c r="G1132" s="127"/>
      <c r="H1132" s="270"/>
      <c r="I1132" s="271"/>
      <c r="J1132" s="947"/>
      <c r="K1132" s="947"/>
      <c r="L1132" s="947"/>
      <c r="M1132" s="9"/>
      <c r="N1132" s="936"/>
      <c r="O1132" s="900"/>
      <c r="P1132" s="901"/>
      <c r="Q1132" s="874"/>
      <c r="R1132" s="874"/>
      <c r="S1132" s="841"/>
      <c r="T1132" s="854"/>
    </row>
    <row r="1133" spans="1:20" s="337" customFormat="1">
      <c r="A1133" s="918"/>
      <c r="B1133" s="922"/>
      <c r="C1133" s="924"/>
      <c r="D1133" s="929"/>
      <c r="E1133" s="930"/>
      <c r="F1133" s="929"/>
      <c r="G1133" s="930" t="s">
        <v>70</v>
      </c>
      <c r="H1133" s="929" t="str">
        <f>D1085</f>
        <v>25.4</v>
      </c>
      <c r="I1133" s="929"/>
      <c r="J1133" s="929"/>
      <c r="K1133" s="929"/>
      <c r="L1133" s="929"/>
      <c r="M1133" s="9"/>
      <c r="N1133" s="937"/>
      <c r="O1133" s="900"/>
      <c r="P1133" s="901">
        <f>SUM(P1091:P1130)</f>
        <v>37467.270000000011</v>
      </c>
      <c r="Q1133" s="874"/>
      <c r="R1133" s="874"/>
      <c r="S1133" s="841"/>
      <c r="T1133" s="854"/>
    </row>
    <row r="1134" spans="1:20" s="318" customFormat="1">
      <c r="A1134" s="915"/>
      <c r="B1134" s="919"/>
      <c r="C1134" s="913"/>
      <c r="D1134" s="384"/>
      <c r="E1134" s="931"/>
      <c r="F1134" s="384"/>
      <c r="G1134" s="384"/>
      <c r="H1134" s="384"/>
      <c r="I1134" s="384"/>
      <c r="J1134" s="384"/>
      <c r="K1134" s="384"/>
      <c r="L1134" s="384"/>
      <c r="M1134" s="9"/>
      <c r="N1134" s="926"/>
      <c r="O1134" s="900"/>
      <c r="P1134" s="901"/>
      <c r="Q1134" s="874"/>
      <c r="R1134" s="874"/>
      <c r="S1134" s="841"/>
      <c r="T1134" s="854"/>
    </row>
    <row r="1135" spans="1:20" s="310" customFormat="1">
      <c r="A1135" s="915"/>
      <c r="B1135" s="919"/>
      <c r="C1135" s="913"/>
      <c r="D1135" s="108" t="s">
        <v>33</v>
      </c>
      <c r="E1135" s="813"/>
      <c r="F1135" s="109"/>
      <c r="G1135" s="108" t="s">
        <v>2012</v>
      </c>
      <c r="H1135" s="109"/>
      <c r="I1135" s="109"/>
      <c r="J1135" s="109"/>
      <c r="K1135" s="109"/>
      <c r="L1135" s="109"/>
      <c r="M1135" s="791"/>
      <c r="N1135" s="378"/>
      <c r="O1135" s="792"/>
      <c r="P1135" s="864"/>
      <c r="Q1135" s="872"/>
      <c r="R1135" s="872"/>
      <c r="S1135" s="842"/>
      <c r="T1135" s="852"/>
    </row>
    <row r="1136" spans="1:20" s="318" customFormat="1">
      <c r="A1136" s="915"/>
      <c r="B1136" s="919"/>
      <c r="C1136" s="913"/>
      <c r="D1136" s="384"/>
      <c r="E1136" s="931"/>
      <c r="F1136" s="384"/>
      <c r="G1136" s="384"/>
      <c r="H1136" s="384"/>
      <c r="I1136" s="384"/>
      <c r="J1136" s="384"/>
      <c r="K1136" s="384"/>
      <c r="L1136" s="384"/>
      <c r="M1136" s="9"/>
      <c r="N1136" s="926"/>
      <c r="O1136" s="900"/>
      <c r="P1136" s="901"/>
      <c r="Q1136" s="874"/>
      <c r="R1136" s="874"/>
      <c r="S1136" s="841"/>
      <c r="T1136" s="854"/>
    </row>
    <row r="1137" spans="1:20" s="318" customFormat="1" ht="25.5">
      <c r="A1137" s="915"/>
      <c r="B1137" s="919"/>
      <c r="C1137" s="913"/>
      <c r="D1137" s="45"/>
      <c r="E1137" s="57"/>
      <c r="F1137" s="57"/>
      <c r="G1137" s="46" t="s">
        <v>1484</v>
      </c>
      <c r="H1137" s="47"/>
      <c r="I1137" s="48"/>
      <c r="J1137" s="9"/>
      <c r="K1137" s="9"/>
      <c r="L1137" s="9"/>
      <c r="M1137" s="9"/>
      <c r="N1137" s="926"/>
      <c r="O1137" s="900"/>
      <c r="P1137" s="901"/>
      <c r="Q1137" s="874"/>
      <c r="R1137" s="874"/>
      <c r="S1137" s="841"/>
      <c r="T1137" s="854"/>
    </row>
    <row r="1138" spans="1:20" s="318" customFormat="1">
      <c r="A1138" s="915"/>
      <c r="B1138" s="919"/>
      <c r="C1138" s="913"/>
      <c r="D1138" s="45"/>
      <c r="E1138" s="57"/>
      <c r="F1138" s="57"/>
      <c r="G1138" s="46"/>
      <c r="H1138" s="47"/>
      <c r="I1138" s="48"/>
      <c r="J1138" s="9"/>
      <c r="K1138" s="9"/>
      <c r="L1138" s="9"/>
      <c r="M1138" s="9"/>
      <c r="N1138" s="926"/>
      <c r="O1138" s="900"/>
      <c r="P1138" s="901"/>
      <c r="Q1138" s="874"/>
      <c r="R1138" s="874"/>
      <c r="S1138" s="841"/>
      <c r="T1138" s="854"/>
    </row>
    <row r="1139" spans="1:20" s="318" customFormat="1">
      <c r="A1139" s="915"/>
      <c r="B1139" s="919"/>
      <c r="C1139" s="913"/>
      <c r="D1139" s="45">
        <v>1</v>
      </c>
      <c r="E1139" s="57"/>
      <c r="F1139" s="57"/>
      <c r="G1139" s="46" t="s">
        <v>1483</v>
      </c>
      <c r="H1139" s="47"/>
      <c r="I1139" s="48"/>
      <c r="J1139" s="9"/>
      <c r="K1139" s="9"/>
      <c r="L1139" s="9"/>
      <c r="M1139" s="9"/>
      <c r="N1139" s="926"/>
      <c r="O1139" s="900"/>
      <c r="P1139" s="901"/>
      <c r="Q1139" s="874"/>
      <c r="R1139" s="874"/>
      <c r="S1139" s="841"/>
      <c r="T1139" s="854"/>
    </row>
    <row r="1140" spans="1:20" s="318" customFormat="1">
      <c r="A1140" s="915"/>
      <c r="B1140" s="919"/>
      <c r="C1140" s="913"/>
      <c r="D1140" s="49" t="s">
        <v>20</v>
      </c>
      <c r="E1140" s="345"/>
      <c r="F1140" s="345"/>
      <c r="G1140" s="12" t="s">
        <v>1267</v>
      </c>
      <c r="H1140" s="47"/>
      <c r="I1140" s="27"/>
      <c r="J1140" s="9"/>
      <c r="K1140" s="9"/>
      <c r="L1140" s="9"/>
      <c r="M1140" s="9"/>
      <c r="N1140" s="926"/>
      <c r="O1140" s="900"/>
      <c r="P1140" s="901"/>
      <c r="Q1140" s="874"/>
      <c r="R1140" s="874"/>
      <c r="S1140" s="841"/>
      <c r="T1140" s="854"/>
    </row>
    <row r="1141" spans="1:20" s="837" customFormat="1" ht="39" customHeight="1">
      <c r="A1141" s="915"/>
      <c r="B1141" s="919"/>
      <c r="C1141" s="913" t="s">
        <v>2455</v>
      </c>
      <c r="D1141" s="49" t="s">
        <v>153</v>
      </c>
      <c r="E1141" s="57" t="s">
        <v>1265</v>
      </c>
      <c r="F1141" s="50"/>
      <c r="G1141" s="12" t="s">
        <v>1266</v>
      </c>
      <c r="H1141" s="18" t="s">
        <v>183</v>
      </c>
      <c r="I1141" s="36">
        <v>1</v>
      </c>
      <c r="J1141" s="9">
        <v>1260</v>
      </c>
      <c r="K1141" s="9">
        <f>J1141*$S$3</f>
        <v>1650.6000000000001</v>
      </c>
      <c r="L1141" s="9">
        <v>16.8</v>
      </c>
      <c r="M1141" s="9">
        <f t="shared" si="76"/>
        <v>1927.9</v>
      </c>
      <c r="N1141" s="948">
        <v>0</v>
      </c>
      <c r="O1141" s="900">
        <f t="shared" si="79"/>
        <v>1</v>
      </c>
      <c r="P1141" s="901">
        <f t="shared" si="77"/>
        <v>1927.9</v>
      </c>
      <c r="Q1141" s="877"/>
      <c r="R1141" s="877"/>
      <c r="S1141" s="845"/>
      <c r="T1141" s="858"/>
    </row>
    <row r="1142" spans="1:20" s="610" customFormat="1" ht="25.5">
      <c r="A1142" s="915"/>
      <c r="B1142" s="919"/>
      <c r="C1142" s="913" t="s">
        <v>2455</v>
      </c>
      <c r="D1142" s="49" t="s">
        <v>151</v>
      </c>
      <c r="E1142" s="57" t="s">
        <v>1263</v>
      </c>
      <c r="F1142" s="50"/>
      <c r="G1142" s="12" t="s">
        <v>1482</v>
      </c>
      <c r="H1142" s="18" t="s">
        <v>183</v>
      </c>
      <c r="I1142" s="36">
        <v>3</v>
      </c>
      <c r="J1142" s="9">
        <v>550</v>
      </c>
      <c r="K1142" s="9">
        <f>J1142*$S$3</f>
        <v>720.5</v>
      </c>
      <c r="L1142" s="9">
        <v>16.8</v>
      </c>
      <c r="M1142" s="9">
        <f t="shared" si="76"/>
        <v>841.54</v>
      </c>
      <c r="N1142" s="948">
        <v>0</v>
      </c>
      <c r="O1142" s="900">
        <f t="shared" si="79"/>
        <v>3</v>
      </c>
      <c r="P1142" s="901">
        <f t="shared" si="77"/>
        <v>2524.62</v>
      </c>
      <c r="Q1142" s="873"/>
      <c r="R1142" s="873"/>
      <c r="S1142" s="840"/>
      <c r="T1142" s="853"/>
    </row>
    <row r="1143" spans="1:20" s="318" customFormat="1">
      <c r="A1143" s="915"/>
      <c r="B1143" s="919"/>
      <c r="C1143" s="913"/>
      <c r="D1143" s="49" t="s">
        <v>19</v>
      </c>
      <c r="E1143" s="345"/>
      <c r="F1143" s="11"/>
      <c r="G1143" s="12" t="s">
        <v>182</v>
      </c>
      <c r="H1143" s="47"/>
      <c r="I1143" s="27"/>
      <c r="J1143" s="9"/>
      <c r="K1143" s="9"/>
      <c r="L1143" s="9"/>
      <c r="M1143" s="9"/>
      <c r="N1143" s="948"/>
      <c r="O1143" s="900"/>
      <c r="P1143" s="901"/>
      <c r="Q1143" s="874"/>
      <c r="R1143" s="874"/>
      <c r="S1143" s="841"/>
      <c r="T1143" s="854"/>
    </row>
    <row r="1144" spans="1:20" s="610" customFormat="1" ht="51">
      <c r="A1144" s="915"/>
      <c r="B1144" s="919"/>
      <c r="C1144" s="913" t="s">
        <v>2455</v>
      </c>
      <c r="D1144" s="49" t="s">
        <v>147</v>
      </c>
      <c r="E1144" s="57" t="s">
        <v>229</v>
      </c>
      <c r="F1144" s="50"/>
      <c r="G1144" s="12" t="s">
        <v>1424</v>
      </c>
      <c r="H1144" s="18" t="s">
        <v>110</v>
      </c>
      <c r="I1144" s="36">
        <v>150</v>
      </c>
      <c r="J1144" s="9">
        <v>4.26</v>
      </c>
      <c r="K1144" s="9">
        <f>J1144*$S$3</f>
        <v>5.5805999999999996</v>
      </c>
      <c r="L1144" s="9">
        <v>16.8</v>
      </c>
      <c r="M1144" s="9">
        <f t="shared" si="76"/>
        <v>6.52</v>
      </c>
      <c r="N1144" s="948">
        <v>0</v>
      </c>
      <c r="O1144" s="900">
        <f t="shared" si="79"/>
        <v>150</v>
      </c>
      <c r="P1144" s="901">
        <f t="shared" si="77"/>
        <v>978</v>
      </c>
      <c r="Q1144" s="873"/>
      <c r="R1144" s="873"/>
      <c r="S1144" s="840"/>
      <c r="T1144" s="853"/>
    </row>
    <row r="1145" spans="1:20" s="318" customFormat="1">
      <c r="A1145" s="915"/>
      <c r="B1145" s="919"/>
      <c r="C1145" s="913"/>
      <c r="D1145" s="49" t="s">
        <v>18</v>
      </c>
      <c r="E1145" s="57"/>
      <c r="F1145" s="50"/>
      <c r="G1145" s="12" t="s">
        <v>441</v>
      </c>
      <c r="H1145" s="7"/>
      <c r="I1145" s="27"/>
      <c r="J1145" s="9"/>
      <c r="K1145" s="9"/>
      <c r="L1145" s="9"/>
      <c r="M1145" s="9"/>
      <c r="N1145" s="948"/>
      <c r="O1145" s="900"/>
      <c r="P1145" s="901"/>
      <c r="Q1145" s="874"/>
      <c r="R1145" s="874"/>
      <c r="S1145" s="841"/>
      <c r="T1145" s="854"/>
    </row>
    <row r="1146" spans="1:20" s="344" customFormat="1" ht="25.5">
      <c r="A1146" s="915"/>
      <c r="B1146" s="919"/>
      <c r="C1146" s="913"/>
      <c r="D1146" s="49" t="s">
        <v>201</v>
      </c>
      <c r="E1146" s="805">
        <f>'[3]Plan Tron'!B384</f>
        <v>2559</v>
      </c>
      <c r="F1146" s="805" t="str">
        <f>'[3]Plan Tron'!C384</f>
        <v>SINAPI (INSUMO)</v>
      </c>
      <c r="G1146" s="643" t="str">
        <f>'[3]Plan Tron'!D384</f>
        <v>CONDULETE DE ALUMINIO TIPO C, PARA ELETRODUTO ROSCAVEL DE 3/4", COM TAMPA CEGA</v>
      </c>
      <c r="H1146" s="805" t="str">
        <f>'[3]Plan Tron'!E384</f>
        <v xml:space="preserve">UN </v>
      </c>
      <c r="I1146" s="27">
        <v>2</v>
      </c>
      <c r="J1146" s="9">
        <v>4.9000000000000004</v>
      </c>
      <c r="K1146" s="9">
        <f>'[3]Plan Tron'!F384</f>
        <v>7.19</v>
      </c>
      <c r="L1146" s="9">
        <v>16.8</v>
      </c>
      <c r="M1146" s="9">
        <f t="shared" si="76"/>
        <v>8.4</v>
      </c>
      <c r="N1146" s="948">
        <v>0</v>
      </c>
      <c r="O1146" s="900">
        <f t="shared" si="79"/>
        <v>2</v>
      </c>
      <c r="P1146" s="901">
        <f t="shared" si="77"/>
        <v>16.8</v>
      </c>
      <c r="Q1146" s="874"/>
      <c r="R1146" s="874"/>
      <c r="S1146" s="841"/>
      <c r="T1146" s="854"/>
    </row>
    <row r="1147" spans="1:20" s="344" customFormat="1" ht="25.5">
      <c r="A1147" s="915"/>
      <c r="B1147" s="919"/>
      <c r="C1147" s="913"/>
      <c r="D1147" s="49" t="s">
        <v>198</v>
      </c>
      <c r="E1147" s="805">
        <f>'[3]Plan Tron'!B385</f>
        <v>2567</v>
      </c>
      <c r="F1147" s="805" t="str">
        <f>'[3]Plan Tron'!C385</f>
        <v>SINAPI (INSUMO)</v>
      </c>
      <c r="G1147" s="643" t="str">
        <f>'[3]Plan Tron'!D385</f>
        <v xml:space="preserve">CONDULETE DE ALUMINIO TIPO E, PARA ELETRODUTO ROSCAVEL DE 2", COM TAMPA CEGA </v>
      </c>
      <c r="H1147" s="805" t="str">
        <f>'[3]Plan Tron'!E385</f>
        <v xml:space="preserve">UN </v>
      </c>
      <c r="I1147" s="27">
        <v>4</v>
      </c>
      <c r="J1147" s="9">
        <v>24.82</v>
      </c>
      <c r="K1147" s="9">
        <f>'[3]Plan Tron'!F385</f>
        <v>23.38</v>
      </c>
      <c r="L1147" s="9">
        <v>16.8</v>
      </c>
      <c r="M1147" s="9">
        <f t="shared" si="76"/>
        <v>27.31</v>
      </c>
      <c r="N1147" s="948">
        <v>0</v>
      </c>
      <c r="O1147" s="900">
        <f t="shared" si="79"/>
        <v>4</v>
      </c>
      <c r="P1147" s="901">
        <f t="shared" si="77"/>
        <v>109.24</v>
      </c>
      <c r="Q1147" s="874"/>
      <c r="R1147" s="874"/>
      <c r="S1147" s="841"/>
      <c r="T1147" s="854"/>
    </row>
    <row r="1148" spans="1:20" s="610" customFormat="1">
      <c r="A1148" s="915"/>
      <c r="B1148" s="919"/>
      <c r="C1148" s="913" t="s">
        <v>2455</v>
      </c>
      <c r="D1148" s="49" t="s">
        <v>390</v>
      </c>
      <c r="E1148" s="57" t="s">
        <v>1113</v>
      </c>
      <c r="F1148" s="50"/>
      <c r="G1148" s="64" t="s">
        <v>1114</v>
      </c>
      <c r="H1148" s="7" t="s">
        <v>246</v>
      </c>
      <c r="I1148" s="27">
        <v>2</v>
      </c>
      <c r="J1148" s="9">
        <v>32.46</v>
      </c>
      <c r="K1148" s="9">
        <f>J1148*$S$3</f>
        <v>42.522600000000004</v>
      </c>
      <c r="L1148" s="9">
        <v>16.8</v>
      </c>
      <c r="M1148" s="9">
        <f t="shared" si="76"/>
        <v>49.67</v>
      </c>
      <c r="N1148" s="948">
        <v>0</v>
      </c>
      <c r="O1148" s="900">
        <f t="shared" si="79"/>
        <v>2</v>
      </c>
      <c r="P1148" s="901">
        <f t="shared" si="77"/>
        <v>99.34</v>
      </c>
      <c r="Q1148" s="873"/>
      <c r="R1148" s="873"/>
      <c r="S1148" s="840"/>
      <c r="T1148" s="853"/>
    </row>
    <row r="1149" spans="1:20" s="610" customFormat="1">
      <c r="A1149" s="915"/>
      <c r="B1149" s="919"/>
      <c r="C1149" s="913" t="s">
        <v>2455</v>
      </c>
      <c r="D1149" s="49" t="s">
        <v>387</v>
      </c>
      <c r="E1149" s="57" t="s">
        <v>1116</v>
      </c>
      <c r="F1149" s="50"/>
      <c r="G1149" s="64" t="s">
        <v>1117</v>
      </c>
      <c r="H1149" s="7" t="s">
        <v>326</v>
      </c>
      <c r="I1149" s="27">
        <v>1</v>
      </c>
      <c r="J1149" s="9">
        <v>22.53</v>
      </c>
      <c r="K1149" s="9">
        <f>J1149*$S$3</f>
        <v>29.514300000000002</v>
      </c>
      <c r="L1149" s="9">
        <v>16.8</v>
      </c>
      <c r="M1149" s="9">
        <f t="shared" si="76"/>
        <v>34.47</v>
      </c>
      <c r="N1149" s="948">
        <v>0</v>
      </c>
      <c r="O1149" s="900">
        <f t="shared" si="79"/>
        <v>1</v>
      </c>
      <c r="P1149" s="901">
        <f t="shared" si="77"/>
        <v>34.47</v>
      </c>
      <c r="Q1149" s="873"/>
      <c r="R1149" s="873"/>
      <c r="S1149" s="840"/>
      <c r="T1149" s="853"/>
    </row>
    <row r="1150" spans="1:20" s="344" customFormat="1" ht="25.5">
      <c r="A1150" s="915"/>
      <c r="B1150" s="919"/>
      <c r="C1150" s="913"/>
      <c r="D1150" s="49" t="s">
        <v>384</v>
      </c>
      <c r="E1150" s="805">
        <f>'[3]Plan Tron'!B386</f>
        <v>2633</v>
      </c>
      <c r="F1150" s="805" t="str">
        <f>'[3]Plan Tron'!C386</f>
        <v>SINAPI (INSUMO)</v>
      </c>
      <c r="G1150" s="643" t="str">
        <f>'[3]Plan Tron'!D386</f>
        <v>CURVA 90 GRAUS, PARA ELETRODUTO, EM ACO GALVANIZADO ELETROLITICO, DIAMETRO DE 20 MM (3/4")</v>
      </c>
      <c r="H1150" s="805" t="str">
        <f>'[3]Plan Tron'!E386</f>
        <v xml:space="preserve">UN </v>
      </c>
      <c r="I1150" s="27">
        <v>5</v>
      </c>
      <c r="J1150" s="9">
        <v>2.37</v>
      </c>
      <c r="K1150" s="9">
        <f>'[3]Plan Tron'!F386</f>
        <v>2.5</v>
      </c>
      <c r="L1150" s="9">
        <v>16.8</v>
      </c>
      <c r="M1150" s="9">
        <f t="shared" si="76"/>
        <v>2.92</v>
      </c>
      <c r="N1150" s="948">
        <v>0</v>
      </c>
      <c r="O1150" s="900">
        <f t="shared" si="79"/>
        <v>5</v>
      </c>
      <c r="P1150" s="901">
        <f t="shared" si="77"/>
        <v>14.6</v>
      </c>
      <c r="Q1150" s="874"/>
      <c r="R1150" s="874"/>
      <c r="S1150" s="841"/>
      <c r="T1150" s="854"/>
    </row>
    <row r="1151" spans="1:20" s="344" customFormat="1" ht="25.5">
      <c r="A1151" s="915"/>
      <c r="B1151" s="919"/>
      <c r="C1151" s="913"/>
      <c r="D1151" s="49" t="s">
        <v>381</v>
      </c>
      <c r="E1151" s="805">
        <f>'[3]Plan Tron'!B387</f>
        <v>2631</v>
      </c>
      <c r="F1151" s="805" t="str">
        <f>'[3]Plan Tron'!C387</f>
        <v>SINAPI (INSUMO)</v>
      </c>
      <c r="G1151" s="643" t="str">
        <f>'[3]Plan Tron'!D387</f>
        <v>CURVA 90 GRAUS, PARA ELETRODUTO, EM ACO GALVANIZADO ELETROLITICO, DIAMETRO DE 50 MM (2")</v>
      </c>
      <c r="H1151" s="805" t="str">
        <f>'[3]Plan Tron'!E387</f>
        <v xml:space="preserve">UN </v>
      </c>
      <c r="I1151" s="27">
        <v>6</v>
      </c>
      <c r="J1151" s="9">
        <v>15.67</v>
      </c>
      <c r="K1151" s="9">
        <f>'[3]Plan Tron'!F387</f>
        <v>13.89</v>
      </c>
      <c r="L1151" s="9">
        <v>16.8</v>
      </c>
      <c r="M1151" s="9">
        <f t="shared" si="76"/>
        <v>16.22</v>
      </c>
      <c r="N1151" s="948">
        <v>0</v>
      </c>
      <c r="O1151" s="900">
        <f t="shared" si="79"/>
        <v>6</v>
      </c>
      <c r="P1151" s="901">
        <f t="shared" si="77"/>
        <v>97.32</v>
      </c>
      <c r="Q1151" s="874"/>
      <c r="R1151" s="874"/>
      <c r="S1151" s="841"/>
      <c r="T1151" s="854"/>
    </row>
    <row r="1152" spans="1:20" s="318" customFormat="1">
      <c r="A1152" s="915"/>
      <c r="B1152" s="919"/>
      <c r="C1152" s="913"/>
      <c r="D1152" s="49" t="s">
        <v>17</v>
      </c>
      <c r="E1152" s="57"/>
      <c r="F1152" s="50"/>
      <c r="G1152" s="12" t="s">
        <v>1419</v>
      </c>
      <c r="H1152" s="7"/>
      <c r="I1152" s="27"/>
      <c r="J1152" s="9"/>
      <c r="K1152" s="9"/>
      <c r="L1152" s="9"/>
      <c r="M1152" s="9"/>
      <c r="N1152" s="948"/>
      <c r="O1152" s="900"/>
      <c r="P1152" s="901"/>
      <c r="Q1152" s="874"/>
      <c r="R1152" s="874"/>
      <c r="S1152" s="841"/>
      <c r="T1152" s="854"/>
    </row>
    <row r="1153" spans="1:20" s="610" customFormat="1">
      <c r="A1153" s="915"/>
      <c r="B1153" s="919"/>
      <c r="C1153" s="913" t="s">
        <v>2455</v>
      </c>
      <c r="D1153" s="49" t="s">
        <v>195</v>
      </c>
      <c r="E1153" s="57" t="s">
        <v>1094</v>
      </c>
      <c r="F1153" s="50"/>
      <c r="G1153" s="12" t="s">
        <v>1481</v>
      </c>
      <c r="H1153" s="7" t="s">
        <v>246</v>
      </c>
      <c r="I1153" s="27">
        <v>4</v>
      </c>
      <c r="J1153" s="9">
        <v>1.75</v>
      </c>
      <c r="K1153" s="9">
        <f>J1153*$S$3</f>
        <v>2.2925</v>
      </c>
      <c r="L1153" s="9">
        <v>16.8</v>
      </c>
      <c r="M1153" s="9">
        <f t="shared" si="76"/>
        <v>2.68</v>
      </c>
      <c r="N1153" s="948">
        <v>0</v>
      </c>
      <c r="O1153" s="900">
        <f t="shared" si="79"/>
        <v>4</v>
      </c>
      <c r="P1153" s="901">
        <f t="shared" si="77"/>
        <v>10.72</v>
      </c>
      <c r="Q1153" s="873"/>
      <c r="R1153" s="873"/>
      <c r="S1153" s="840"/>
      <c r="T1153" s="853"/>
    </row>
    <row r="1154" spans="1:20" s="610" customFormat="1">
      <c r="A1154" s="915"/>
      <c r="B1154" s="919"/>
      <c r="C1154" s="913" t="s">
        <v>2455</v>
      </c>
      <c r="D1154" s="49" t="s">
        <v>192</v>
      </c>
      <c r="E1154" s="57" t="s">
        <v>1100</v>
      </c>
      <c r="F1154" s="50"/>
      <c r="G1154" s="64" t="s">
        <v>1101</v>
      </c>
      <c r="H1154" s="47" t="s">
        <v>1078</v>
      </c>
      <c r="I1154" s="27">
        <v>8</v>
      </c>
      <c r="J1154" s="9">
        <v>38.85</v>
      </c>
      <c r="K1154" s="9">
        <f>J1154*$S$3</f>
        <v>50.893500000000003</v>
      </c>
      <c r="L1154" s="9">
        <v>16.8</v>
      </c>
      <c r="M1154" s="9">
        <f t="shared" si="76"/>
        <v>59.44</v>
      </c>
      <c r="N1154" s="948">
        <v>0</v>
      </c>
      <c r="O1154" s="900">
        <f t="shared" si="79"/>
        <v>8</v>
      </c>
      <c r="P1154" s="901">
        <f t="shared" si="77"/>
        <v>475.52</v>
      </c>
      <c r="Q1154" s="873"/>
      <c r="R1154" s="873"/>
      <c r="S1154" s="840"/>
      <c r="T1154" s="853"/>
    </row>
    <row r="1155" spans="1:20" s="318" customFormat="1">
      <c r="A1155" s="915"/>
      <c r="B1155" s="919"/>
      <c r="C1155" s="913"/>
      <c r="D1155" s="49" t="s">
        <v>16</v>
      </c>
      <c r="E1155" s="805"/>
      <c r="F1155" s="195"/>
      <c r="G1155" s="12" t="s">
        <v>440</v>
      </c>
      <c r="H1155" s="7"/>
      <c r="I1155" s="27"/>
      <c r="J1155" s="9"/>
      <c r="K1155" s="9"/>
      <c r="L1155" s="9"/>
      <c r="M1155" s="9"/>
      <c r="N1155" s="948"/>
      <c r="O1155" s="900"/>
      <c r="P1155" s="901"/>
      <c r="Q1155" s="874"/>
      <c r="R1155" s="874"/>
      <c r="S1155" s="841"/>
      <c r="T1155" s="854"/>
    </row>
    <row r="1156" spans="1:20" s="800" customFormat="1" ht="25.5">
      <c r="A1156" s="915"/>
      <c r="B1156" s="919"/>
      <c r="C1156" s="913"/>
      <c r="D1156" s="49" t="s">
        <v>270</v>
      </c>
      <c r="E1156" s="805">
        <v>12207</v>
      </c>
      <c r="F1156" s="805" t="s">
        <v>2017</v>
      </c>
      <c r="G1156" s="12" t="s">
        <v>1171</v>
      </c>
      <c r="H1156" s="7" t="s">
        <v>246</v>
      </c>
      <c r="I1156" s="27">
        <v>2</v>
      </c>
      <c r="J1156" s="9">
        <v>7.66</v>
      </c>
      <c r="K1156" s="9">
        <f>J1156*$S$3</f>
        <v>10.034600000000001</v>
      </c>
      <c r="L1156" s="9">
        <v>16.8</v>
      </c>
      <c r="M1156" s="9">
        <f t="shared" si="76"/>
        <v>11.72</v>
      </c>
      <c r="N1156" s="948">
        <v>0</v>
      </c>
      <c r="O1156" s="900">
        <f t="shared" si="79"/>
        <v>2</v>
      </c>
      <c r="P1156" s="901">
        <f t="shared" si="77"/>
        <v>23.44</v>
      </c>
      <c r="Q1156" s="875"/>
      <c r="R1156" s="875"/>
      <c r="S1156" s="844"/>
      <c r="T1156" s="857"/>
    </row>
    <row r="1157" spans="1:20" s="800" customFormat="1" ht="25.5">
      <c r="A1157" s="915"/>
      <c r="B1157" s="919"/>
      <c r="C1157" s="913"/>
      <c r="D1157" s="49" t="s">
        <v>369</v>
      </c>
      <c r="E1157" s="57">
        <v>3794</v>
      </c>
      <c r="F1157" s="805" t="s">
        <v>2017</v>
      </c>
      <c r="G1157" s="12" t="s">
        <v>1170</v>
      </c>
      <c r="H1157" s="7" t="s">
        <v>246</v>
      </c>
      <c r="I1157" s="27">
        <v>2</v>
      </c>
      <c r="J1157" s="9">
        <v>123</v>
      </c>
      <c r="K1157" s="9">
        <f>J1157*$S$3</f>
        <v>161.13</v>
      </c>
      <c r="L1157" s="9">
        <v>16.8</v>
      </c>
      <c r="M1157" s="9">
        <f t="shared" si="76"/>
        <v>188.2</v>
      </c>
      <c r="N1157" s="948">
        <v>0</v>
      </c>
      <c r="O1157" s="900">
        <f t="shared" si="79"/>
        <v>2</v>
      </c>
      <c r="P1157" s="901">
        <f t="shared" si="77"/>
        <v>376.4</v>
      </c>
      <c r="Q1157" s="875"/>
      <c r="R1157" s="875"/>
      <c r="S1157" s="844"/>
      <c r="T1157" s="857"/>
    </row>
    <row r="1158" spans="1:20" s="318" customFormat="1">
      <c r="A1158" s="915"/>
      <c r="B1158" s="919"/>
      <c r="C1158" s="913"/>
      <c r="D1158" s="49"/>
      <c r="E1158" s="57"/>
      <c r="F1158" s="50"/>
      <c r="G1158" s="12"/>
      <c r="H1158" s="7"/>
      <c r="I1158" s="27"/>
      <c r="J1158" s="9"/>
      <c r="K1158" s="9"/>
      <c r="L1158" s="9"/>
      <c r="M1158" s="9"/>
      <c r="N1158" s="948"/>
      <c r="O1158" s="900"/>
      <c r="P1158" s="901"/>
      <c r="Q1158" s="874"/>
      <c r="R1158" s="874"/>
      <c r="S1158" s="841"/>
      <c r="T1158" s="854"/>
    </row>
    <row r="1159" spans="1:20" s="318" customFormat="1">
      <c r="A1159" s="915"/>
      <c r="B1159" s="919"/>
      <c r="C1159" s="913"/>
      <c r="D1159" s="49" t="s">
        <v>15</v>
      </c>
      <c r="E1159" s="57"/>
      <c r="F1159" s="50"/>
      <c r="G1159" s="12" t="s">
        <v>1042</v>
      </c>
      <c r="H1159" s="7"/>
      <c r="I1159" s="27"/>
      <c r="J1159" s="9"/>
      <c r="K1159" s="9"/>
      <c r="L1159" s="9"/>
      <c r="M1159" s="9"/>
      <c r="N1159" s="948"/>
      <c r="O1159" s="900"/>
      <c r="P1159" s="901"/>
      <c r="Q1159" s="874"/>
      <c r="R1159" s="874"/>
      <c r="S1159" s="841"/>
      <c r="T1159" s="854"/>
    </row>
    <row r="1160" spans="1:20" s="610" customFormat="1">
      <c r="A1160" s="915"/>
      <c r="B1160" s="919"/>
      <c r="C1160" s="913" t="s">
        <v>2455</v>
      </c>
      <c r="D1160" s="49" t="s">
        <v>249</v>
      </c>
      <c r="E1160" s="57" t="s">
        <v>1063</v>
      </c>
      <c r="F1160" s="50"/>
      <c r="G1160" s="61" t="s">
        <v>1064</v>
      </c>
      <c r="H1160" s="7" t="s">
        <v>110</v>
      </c>
      <c r="I1160" s="27">
        <v>50</v>
      </c>
      <c r="J1160" s="9">
        <v>6.2</v>
      </c>
      <c r="K1160" s="9">
        <f>J1160*$S$3</f>
        <v>8.1219999999999999</v>
      </c>
      <c r="L1160" s="9">
        <v>16.8</v>
      </c>
      <c r="M1160" s="9">
        <f t="shared" si="76"/>
        <v>9.49</v>
      </c>
      <c r="N1160" s="948">
        <v>0</v>
      </c>
      <c r="O1160" s="900">
        <f t="shared" si="79"/>
        <v>50</v>
      </c>
      <c r="P1160" s="901">
        <f t="shared" si="77"/>
        <v>474.5</v>
      </c>
      <c r="Q1160" s="873"/>
      <c r="R1160" s="873"/>
      <c r="S1160" s="840"/>
      <c r="T1160" s="853"/>
    </row>
    <row r="1161" spans="1:20" s="344" customFormat="1" ht="25.5">
      <c r="A1161" s="915"/>
      <c r="B1161" s="919"/>
      <c r="C1161" s="913"/>
      <c r="D1161" s="49" t="s">
        <v>265</v>
      </c>
      <c r="E1161" s="805">
        <f>'[3]Plan Tron'!B388</f>
        <v>2567</v>
      </c>
      <c r="F1161" s="805" t="str">
        <f>'[3]Plan Tron'!C388</f>
        <v>SINAPI (INSUMO)</v>
      </c>
      <c r="G1161" s="643" t="str">
        <f>'[3]Plan Tron'!D388</f>
        <v xml:space="preserve">CONDULETE DE ALUMINIO TIPO E, PARA ELETRODUTO ROSCAVEL DE 2", COM TAMPA CEGA </v>
      </c>
      <c r="H1161" s="805" t="str">
        <f>'[3]Plan Tron'!E388</f>
        <v xml:space="preserve">UN </v>
      </c>
      <c r="I1161" s="27">
        <v>2</v>
      </c>
      <c r="J1161" s="9">
        <v>24.82</v>
      </c>
      <c r="K1161" s="9">
        <f>'[3]Plan Tron'!F388</f>
        <v>23.38</v>
      </c>
      <c r="L1161" s="9">
        <v>16.8</v>
      </c>
      <c r="M1161" s="9">
        <f t="shared" si="76"/>
        <v>27.31</v>
      </c>
      <c r="N1161" s="948">
        <v>0</v>
      </c>
      <c r="O1161" s="900">
        <f t="shared" si="79"/>
        <v>2</v>
      </c>
      <c r="P1161" s="901">
        <f t="shared" si="77"/>
        <v>54.62</v>
      </c>
      <c r="Q1161" s="874"/>
      <c r="R1161" s="874"/>
      <c r="S1161" s="841"/>
      <c r="T1161" s="854"/>
    </row>
    <row r="1162" spans="1:20" s="610" customFormat="1">
      <c r="A1162" s="915"/>
      <c r="B1162" s="919"/>
      <c r="C1162" s="913" t="s">
        <v>2455</v>
      </c>
      <c r="D1162" s="49" t="s">
        <v>263</v>
      </c>
      <c r="E1162" s="57" t="s">
        <v>190</v>
      </c>
      <c r="F1162" s="50"/>
      <c r="G1162" s="12" t="s">
        <v>191</v>
      </c>
      <c r="H1162" s="7" t="s">
        <v>246</v>
      </c>
      <c r="I1162" s="27">
        <v>12</v>
      </c>
      <c r="J1162" s="9">
        <v>17.5</v>
      </c>
      <c r="K1162" s="9">
        <f>J1162*$S$3</f>
        <v>22.925000000000001</v>
      </c>
      <c r="L1162" s="9">
        <v>16.8</v>
      </c>
      <c r="M1162" s="9">
        <f t="shared" si="76"/>
        <v>26.78</v>
      </c>
      <c r="N1162" s="948">
        <v>0</v>
      </c>
      <c r="O1162" s="900">
        <f t="shared" si="79"/>
        <v>12</v>
      </c>
      <c r="P1162" s="901">
        <f t="shared" si="77"/>
        <v>321.36</v>
      </c>
      <c r="Q1162" s="873"/>
      <c r="R1162" s="873"/>
      <c r="S1162" s="840"/>
      <c r="T1162" s="853"/>
    </row>
    <row r="1163" spans="1:20" s="610" customFormat="1" ht="25.5">
      <c r="A1163" s="915"/>
      <c r="B1163" s="919"/>
      <c r="C1163" s="913" t="s">
        <v>2455</v>
      </c>
      <c r="D1163" s="49" t="s">
        <v>358</v>
      </c>
      <c r="E1163" s="57" t="s">
        <v>193</v>
      </c>
      <c r="F1163" s="50"/>
      <c r="G1163" s="12" t="s">
        <v>194</v>
      </c>
      <c r="H1163" s="7" t="s">
        <v>326</v>
      </c>
      <c r="I1163" s="27">
        <v>1</v>
      </c>
      <c r="J1163" s="9">
        <v>180</v>
      </c>
      <c r="K1163" s="9">
        <f>J1163*$S$3</f>
        <v>235.8</v>
      </c>
      <c r="L1163" s="9">
        <v>16.8</v>
      </c>
      <c r="M1163" s="9">
        <f t="shared" si="76"/>
        <v>275.41000000000003</v>
      </c>
      <c r="N1163" s="948">
        <v>0</v>
      </c>
      <c r="O1163" s="900">
        <f t="shared" si="79"/>
        <v>1</v>
      </c>
      <c r="P1163" s="901">
        <f t="shared" si="77"/>
        <v>275.41000000000003</v>
      </c>
      <c r="Q1163" s="873"/>
      <c r="R1163" s="873"/>
      <c r="S1163" s="840"/>
      <c r="T1163" s="853"/>
    </row>
    <row r="1164" spans="1:20" s="610" customFormat="1">
      <c r="A1164" s="915"/>
      <c r="B1164" s="919"/>
      <c r="C1164" s="913" t="s">
        <v>2455</v>
      </c>
      <c r="D1164" s="49" t="s">
        <v>356</v>
      </c>
      <c r="E1164" s="805" t="s">
        <v>1058</v>
      </c>
      <c r="F1164" s="195"/>
      <c r="G1164" s="12" t="s">
        <v>1059</v>
      </c>
      <c r="H1164" s="7" t="s">
        <v>246</v>
      </c>
      <c r="I1164" s="27">
        <v>4</v>
      </c>
      <c r="J1164" s="9">
        <v>10.6</v>
      </c>
      <c r="K1164" s="9">
        <f>J1164*$S$3</f>
        <v>13.885999999999999</v>
      </c>
      <c r="L1164" s="9">
        <v>16.8</v>
      </c>
      <c r="M1164" s="9">
        <f t="shared" si="76"/>
        <v>16.22</v>
      </c>
      <c r="N1164" s="948">
        <v>0</v>
      </c>
      <c r="O1164" s="900">
        <f t="shared" si="79"/>
        <v>4</v>
      </c>
      <c r="P1164" s="901">
        <f t="shared" si="77"/>
        <v>64.88</v>
      </c>
      <c r="Q1164" s="873"/>
      <c r="R1164" s="873"/>
      <c r="S1164" s="840"/>
      <c r="T1164" s="853"/>
    </row>
    <row r="1165" spans="1:20" s="610" customFormat="1">
      <c r="A1165" s="915"/>
      <c r="B1165" s="919"/>
      <c r="C1165" s="913" t="s">
        <v>2455</v>
      </c>
      <c r="D1165" s="49" t="s">
        <v>354</v>
      </c>
      <c r="E1165" s="805" t="s">
        <v>1412</v>
      </c>
      <c r="F1165" s="195"/>
      <c r="G1165" s="12" t="s">
        <v>1413</v>
      </c>
      <c r="H1165" s="7" t="s">
        <v>246</v>
      </c>
      <c r="I1165" s="27">
        <v>1</v>
      </c>
      <c r="J1165" s="9">
        <v>29</v>
      </c>
      <c r="K1165" s="9">
        <f>J1165*$S$3</f>
        <v>37.99</v>
      </c>
      <c r="L1165" s="9">
        <v>16.8</v>
      </c>
      <c r="M1165" s="9">
        <f t="shared" si="76"/>
        <v>44.37</v>
      </c>
      <c r="N1165" s="948">
        <v>0</v>
      </c>
      <c r="O1165" s="900">
        <f t="shared" si="79"/>
        <v>1</v>
      </c>
      <c r="P1165" s="901">
        <f t="shared" si="77"/>
        <v>44.37</v>
      </c>
      <c r="Q1165" s="873"/>
      <c r="R1165" s="873"/>
      <c r="S1165" s="840"/>
      <c r="T1165" s="853"/>
    </row>
    <row r="1166" spans="1:20" s="610" customFormat="1">
      <c r="A1166" s="915"/>
      <c r="B1166" s="919"/>
      <c r="C1166" s="913" t="s">
        <v>2455</v>
      </c>
      <c r="D1166" s="49" t="s">
        <v>352</v>
      </c>
      <c r="E1166" s="805" t="s">
        <v>1410</v>
      </c>
      <c r="F1166" s="195"/>
      <c r="G1166" s="12" t="s">
        <v>1480</v>
      </c>
      <c r="H1166" s="7" t="s">
        <v>246</v>
      </c>
      <c r="I1166" s="27">
        <v>28</v>
      </c>
      <c r="J1166" s="9">
        <v>2.25</v>
      </c>
      <c r="K1166" s="9">
        <f>J1166*$S$3</f>
        <v>2.9475000000000002</v>
      </c>
      <c r="L1166" s="9">
        <v>16.8</v>
      </c>
      <c r="M1166" s="9">
        <f t="shared" si="76"/>
        <v>3.44</v>
      </c>
      <c r="N1166" s="948">
        <v>0</v>
      </c>
      <c r="O1166" s="900">
        <f t="shared" si="79"/>
        <v>28</v>
      </c>
      <c r="P1166" s="901">
        <f t="shared" si="77"/>
        <v>96.32</v>
      </c>
      <c r="Q1166" s="873"/>
      <c r="R1166" s="873"/>
      <c r="S1166" s="840"/>
      <c r="T1166" s="853"/>
    </row>
    <row r="1167" spans="1:20" s="318" customFormat="1">
      <c r="A1167" s="915"/>
      <c r="B1167" s="919"/>
      <c r="C1167" s="913"/>
      <c r="D1167" s="49" t="s">
        <v>14</v>
      </c>
      <c r="E1167" s="805"/>
      <c r="F1167" s="195"/>
      <c r="G1167" s="12" t="s">
        <v>770</v>
      </c>
      <c r="H1167" s="7"/>
      <c r="I1167" s="27"/>
      <c r="J1167" s="9"/>
      <c r="K1167" s="9"/>
      <c r="L1167" s="9"/>
      <c r="M1167" s="9"/>
      <c r="N1167" s="948"/>
      <c r="O1167" s="900"/>
      <c r="P1167" s="901"/>
      <c r="Q1167" s="874"/>
      <c r="R1167" s="874"/>
      <c r="S1167" s="841"/>
      <c r="T1167" s="854"/>
    </row>
    <row r="1168" spans="1:20" s="610" customFormat="1" ht="38.25">
      <c r="A1168" s="915"/>
      <c r="B1168" s="919"/>
      <c r="C1168" s="913" t="s">
        <v>2455</v>
      </c>
      <c r="D1168" s="49" t="s">
        <v>181</v>
      </c>
      <c r="E1168" s="57" t="s">
        <v>768</v>
      </c>
      <c r="F1168" s="50"/>
      <c r="G1168" s="12" t="s">
        <v>769</v>
      </c>
      <c r="H1168" s="7" t="s">
        <v>326</v>
      </c>
      <c r="I1168" s="27">
        <v>1</v>
      </c>
      <c r="J1168" s="9">
        <v>423.43</v>
      </c>
      <c r="K1168" s="9">
        <f>J1168*$S$3</f>
        <v>554.69330000000002</v>
      </c>
      <c r="L1168" s="9">
        <v>16.8</v>
      </c>
      <c r="M1168" s="9">
        <f t="shared" si="76"/>
        <v>647.88</v>
      </c>
      <c r="N1168" s="948">
        <v>0</v>
      </c>
      <c r="O1168" s="900">
        <f t="shared" si="79"/>
        <v>1</v>
      </c>
      <c r="P1168" s="901">
        <f t="shared" si="77"/>
        <v>647.88</v>
      </c>
      <c r="Q1168" s="873"/>
      <c r="R1168" s="873"/>
      <c r="S1168" s="840"/>
      <c r="T1168" s="853"/>
    </row>
    <row r="1169" spans="1:20" s="318" customFormat="1">
      <c r="A1169" s="915"/>
      <c r="B1169" s="919"/>
      <c r="C1169" s="913"/>
      <c r="D1169" s="49"/>
      <c r="E1169" s="57"/>
      <c r="F1169" s="57"/>
      <c r="G1169" s="12"/>
      <c r="H1169" s="7"/>
      <c r="I1169" s="27"/>
      <c r="J1169" s="9"/>
      <c r="K1169" s="9"/>
      <c r="L1169" s="9"/>
      <c r="M1169" s="9"/>
      <c r="N1169" s="926"/>
      <c r="O1169" s="900"/>
      <c r="P1169" s="901"/>
      <c r="Q1169" s="874"/>
      <c r="R1169" s="874"/>
      <c r="S1169" s="841"/>
      <c r="T1169" s="854"/>
    </row>
    <row r="1170" spans="1:20" s="318" customFormat="1">
      <c r="A1170" s="915"/>
      <c r="B1170" s="919"/>
      <c r="C1170" s="913"/>
      <c r="D1170" s="49"/>
      <c r="E1170" s="57"/>
      <c r="F1170" s="57"/>
      <c r="G1170" s="56"/>
      <c r="H1170" s="18"/>
      <c r="I1170" s="36"/>
      <c r="J1170" s="20"/>
      <c r="K1170" s="20"/>
      <c r="L1170" s="20"/>
      <c r="M1170" s="9"/>
      <c r="N1170" s="936"/>
      <c r="O1170" s="900"/>
      <c r="P1170" s="901"/>
      <c r="Q1170" s="874"/>
      <c r="R1170" s="874"/>
      <c r="S1170" s="841"/>
      <c r="T1170" s="854"/>
    </row>
    <row r="1171" spans="1:20" s="337" customFormat="1">
      <c r="A1171" s="918"/>
      <c r="B1171" s="922"/>
      <c r="C1171" s="924"/>
      <c r="D1171" s="929"/>
      <c r="E1171" s="930"/>
      <c r="F1171" s="929"/>
      <c r="G1171" s="930" t="s">
        <v>70</v>
      </c>
      <c r="H1171" s="929" t="str">
        <f>D1135</f>
        <v>25.5</v>
      </c>
      <c r="I1171" s="929"/>
      <c r="J1171" s="929"/>
      <c r="K1171" s="929"/>
      <c r="L1171" s="929"/>
      <c r="M1171" s="9"/>
      <c r="N1171" s="937"/>
      <c r="O1171" s="900"/>
      <c r="P1171" s="901">
        <f>SUM(P1141:P1168)</f>
        <v>8667.7099999999991</v>
      </c>
      <c r="Q1171" s="874"/>
      <c r="R1171" s="874"/>
      <c r="S1171" s="841"/>
      <c r="T1171" s="854"/>
    </row>
    <row r="1172" spans="1:20" s="318" customFormat="1">
      <c r="A1172" s="915"/>
      <c r="B1172" s="919"/>
      <c r="C1172" s="913"/>
      <c r="D1172" s="302"/>
      <c r="E1172" s="819"/>
      <c r="F1172" s="302"/>
      <c r="G1172" s="302"/>
      <c r="H1172" s="302"/>
      <c r="I1172" s="302"/>
      <c r="J1172" s="302"/>
      <c r="K1172" s="302"/>
      <c r="L1172" s="302"/>
      <c r="M1172" s="9"/>
      <c r="N1172" s="375"/>
      <c r="O1172" s="789"/>
      <c r="P1172" s="863"/>
      <c r="Q1172" s="874"/>
      <c r="R1172" s="874"/>
      <c r="S1172" s="841"/>
      <c r="T1172" s="854"/>
    </row>
    <row r="1173" spans="1:20" s="310" customFormat="1">
      <c r="A1173" s="915"/>
      <c r="B1173" s="919"/>
      <c r="C1173" s="913"/>
      <c r="D1173" s="108" t="s">
        <v>32</v>
      </c>
      <c r="E1173" s="813"/>
      <c r="F1173" s="109"/>
      <c r="G1173" s="108" t="s">
        <v>1975</v>
      </c>
      <c r="H1173" s="109"/>
      <c r="I1173" s="109"/>
      <c r="J1173" s="109"/>
      <c r="K1173" s="109"/>
      <c r="L1173" s="109"/>
      <c r="M1173" s="791"/>
      <c r="N1173" s="378"/>
      <c r="O1173" s="792"/>
      <c r="P1173" s="864"/>
      <c r="Q1173" s="872"/>
      <c r="R1173" s="872"/>
      <c r="S1173" s="842"/>
      <c r="T1173" s="852"/>
    </row>
    <row r="1174" spans="1:20" s="318" customFormat="1">
      <c r="A1174" s="915"/>
      <c r="B1174" s="919"/>
      <c r="C1174" s="913"/>
      <c r="D1174" s="384"/>
      <c r="E1174" s="931"/>
      <c r="F1174" s="384"/>
      <c r="G1174" s="384"/>
      <c r="H1174" s="384"/>
      <c r="I1174" s="384"/>
      <c r="J1174" s="384"/>
      <c r="K1174" s="384"/>
      <c r="L1174" s="384"/>
      <c r="M1174" s="9"/>
      <c r="N1174" s="926"/>
      <c r="O1174" s="900"/>
      <c r="P1174" s="901"/>
      <c r="Q1174" s="874"/>
      <c r="R1174" s="874"/>
      <c r="S1174" s="841"/>
      <c r="T1174" s="854"/>
    </row>
    <row r="1175" spans="1:20" s="318" customFormat="1" ht="25.5">
      <c r="A1175" s="915"/>
      <c r="B1175" s="919"/>
      <c r="C1175" s="913"/>
      <c r="D1175" s="220"/>
      <c r="E1175" s="127"/>
      <c r="F1175" s="124"/>
      <c r="G1175" s="124" t="s">
        <v>342</v>
      </c>
      <c r="H1175" s="267"/>
      <c r="I1175" s="268"/>
      <c r="J1175" s="269"/>
      <c r="K1175" s="269"/>
      <c r="L1175" s="269"/>
      <c r="M1175" s="9"/>
      <c r="N1175" s="926"/>
      <c r="O1175" s="900"/>
      <c r="P1175" s="901"/>
      <c r="Q1175" s="874"/>
      <c r="R1175" s="874"/>
      <c r="S1175" s="841"/>
      <c r="T1175" s="854"/>
    </row>
    <row r="1176" spans="1:20" s="318" customFormat="1">
      <c r="A1176" s="915"/>
      <c r="B1176" s="919"/>
      <c r="C1176" s="913"/>
      <c r="D1176" s="220"/>
      <c r="E1176" s="127"/>
      <c r="F1176" s="124"/>
      <c r="G1176" s="124"/>
      <c r="H1176" s="267"/>
      <c r="I1176" s="268"/>
      <c r="J1176" s="269"/>
      <c r="K1176" s="269"/>
      <c r="L1176" s="269"/>
      <c r="M1176" s="9"/>
      <c r="N1176" s="926"/>
      <c r="O1176" s="900"/>
      <c r="P1176" s="901"/>
      <c r="Q1176" s="874"/>
      <c r="R1176" s="874"/>
      <c r="S1176" s="841"/>
      <c r="T1176" s="854"/>
    </row>
    <row r="1177" spans="1:20" s="318" customFormat="1">
      <c r="A1177" s="915"/>
      <c r="B1177" s="919"/>
      <c r="C1177" s="913"/>
      <c r="D1177" s="220"/>
      <c r="E1177" s="127"/>
      <c r="F1177" s="124"/>
      <c r="G1177" s="124"/>
      <c r="H1177" s="267"/>
      <c r="I1177" s="268"/>
      <c r="J1177" s="269"/>
      <c r="K1177" s="269"/>
      <c r="L1177" s="269"/>
      <c r="M1177" s="9"/>
      <c r="N1177" s="926"/>
      <c r="O1177" s="900"/>
      <c r="P1177" s="901"/>
      <c r="Q1177" s="874"/>
      <c r="R1177" s="874"/>
      <c r="S1177" s="841"/>
      <c r="T1177" s="854"/>
    </row>
    <row r="1178" spans="1:20" s="318" customFormat="1">
      <c r="A1178" s="915"/>
      <c r="B1178" s="919"/>
      <c r="C1178" s="913"/>
      <c r="D1178" s="122">
        <v>1</v>
      </c>
      <c r="E1178" s="127"/>
      <c r="F1178" s="124"/>
      <c r="G1178" s="124" t="s">
        <v>1529</v>
      </c>
      <c r="H1178" s="270"/>
      <c r="I1178" s="271"/>
      <c r="J1178" s="272"/>
      <c r="K1178" s="272"/>
      <c r="L1178" s="272"/>
      <c r="M1178" s="9"/>
      <c r="N1178" s="926"/>
      <c r="O1178" s="900"/>
      <c r="P1178" s="901"/>
      <c r="Q1178" s="874"/>
      <c r="R1178" s="874"/>
      <c r="S1178" s="841"/>
      <c r="T1178" s="854"/>
    </row>
    <row r="1179" spans="1:20" s="318" customFormat="1">
      <c r="A1179" s="915"/>
      <c r="B1179" s="919"/>
      <c r="C1179" s="913"/>
      <c r="D1179" s="126" t="s">
        <v>20</v>
      </c>
      <c r="E1179" s="127"/>
      <c r="F1179" s="124"/>
      <c r="G1179" s="116" t="s">
        <v>766</v>
      </c>
      <c r="H1179" s="270"/>
      <c r="I1179" s="271"/>
      <c r="J1179" s="272"/>
      <c r="K1179" s="272"/>
      <c r="L1179" s="272"/>
      <c r="M1179" s="9"/>
      <c r="N1179" s="926"/>
      <c r="O1179" s="900"/>
      <c r="P1179" s="901"/>
      <c r="Q1179" s="874"/>
      <c r="R1179" s="874"/>
      <c r="S1179" s="841"/>
      <c r="T1179" s="854"/>
    </row>
    <row r="1180" spans="1:20" s="885" customFormat="1">
      <c r="A1180" s="915"/>
      <c r="B1180" s="919"/>
      <c r="C1180" s="913"/>
      <c r="D1180" s="126" t="s">
        <v>153</v>
      </c>
      <c r="E1180" s="807" t="s">
        <v>1527</v>
      </c>
      <c r="F1180" s="226"/>
      <c r="G1180" s="116" t="s">
        <v>1528</v>
      </c>
      <c r="H1180" s="119" t="s">
        <v>326</v>
      </c>
      <c r="I1180" s="162">
        <v>4</v>
      </c>
      <c r="J1180" s="161">
        <v>3575</v>
      </c>
      <c r="K1180" s="161">
        <v>4595</v>
      </c>
      <c r="L1180" s="161">
        <v>16.8</v>
      </c>
      <c r="M1180" s="9">
        <f t="shared" ref="M1180:M1222" si="80">ROUND(K1180*(L1180/100+1),2)</f>
        <v>5366.96</v>
      </c>
      <c r="N1180" s="948">
        <v>0</v>
      </c>
      <c r="O1180" s="900">
        <f t="shared" si="79"/>
        <v>4</v>
      </c>
      <c r="P1180" s="901">
        <f t="shared" ref="P1180:P1222" si="81">ROUND(O1180*M1180,2)</f>
        <v>21467.84</v>
      </c>
      <c r="Q1180" s="882">
        <v>123</v>
      </c>
      <c r="R1180" s="882" t="s">
        <v>2435</v>
      </c>
      <c r="S1180" s="883"/>
      <c r="T1180" s="884"/>
    </row>
    <row r="1181" spans="1:20" s="885" customFormat="1" ht="25.5">
      <c r="A1181" s="915"/>
      <c r="B1181" s="919"/>
      <c r="C1181" s="913"/>
      <c r="D1181" s="126" t="s">
        <v>151</v>
      </c>
      <c r="E1181" s="807" t="s">
        <v>1525</v>
      </c>
      <c r="F1181" s="226"/>
      <c r="G1181" s="116" t="s">
        <v>1526</v>
      </c>
      <c r="H1181" s="119" t="s">
        <v>326</v>
      </c>
      <c r="I1181" s="162">
        <v>2</v>
      </c>
      <c r="J1181" s="161">
        <v>2900</v>
      </c>
      <c r="K1181" s="161">
        <v>3850</v>
      </c>
      <c r="L1181" s="161">
        <v>16.8</v>
      </c>
      <c r="M1181" s="9">
        <f t="shared" si="80"/>
        <v>4496.8</v>
      </c>
      <c r="N1181" s="948">
        <v>0</v>
      </c>
      <c r="O1181" s="900">
        <f t="shared" si="79"/>
        <v>2</v>
      </c>
      <c r="P1181" s="901">
        <f t="shared" si="81"/>
        <v>8993.6</v>
      </c>
      <c r="Q1181" s="882">
        <v>180</v>
      </c>
      <c r="R1181" s="882" t="s">
        <v>2433</v>
      </c>
      <c r="S1181" s="883"/>
      <c r="T1181" s="884"/>
    </row>
    <row r="1182" spans="1:20" s="610" customFormat="1">
      <c r="A1182" s="915"/>
      <c r="B1182" s="919"/>
      <c r="C1182" s="913"/>
      <c r="D1182" s="126" t="s">
        <v>149</v>
      </c>
      <c r="E1182" s="807" t="s">
        <v>1523</v>
      </c>
      <c r="F1182" s="226"/>
      <c r="G1182" s="116" t="s">
        <v>1524</v>
      </c>
      <c r="H1182" s="119" t="s">
        <v>246</v>
      </c>
      <c r="I1182" s="162">
        <v>4</v>
      </c>
      <c r="J1182" s="161">
        <v>714.9</v>
      </c>
      <c r="K1182" s="9">
        <f>J1182*$S$3</f>
        <v>936.51900000000001</v>
      </c>
      <c r="L1182" s="161">
        <v>16.8</v>
      </c>
      <c r="M1182" s="9">
        <f t="shared" si="80"/>
        <v>1093.8499999999999</v>
      </c>
      <c r="N1182" s="948">
        <v>0</v>
      </c>
      <c r="O1182" s="900">
        <f t="shared" si="79"/>
        <v>4</v>
      </c>
      <c r="P1182" s="901">
        <f t="shared" si="81"/>
        <v>4375.3999999999996</v>
      </c>
      <c r="Q1182" s="873"/>
      <c r="R1182" s="873"/>
      <c r="S1182" s="840"/>
      <c r="T1182" s="853"/>
    </row>
    <row r="1183" spans="1:20" s="837" customFormat="1">
      <c r="A1183" s="915"/>
      <c r="B1183" s="919"/>
      <c r="C1183" s="913"/>
      <c r="D1183" s="126" t="s">
        <v>240</v>
      </c>
      <c r="E1183" s="807" t="s">
        <v>1521</v>
      </c>
      <c r="F1183" s="226"/>
      <c r="G1183" s="116" t="s">
        <v>1522</v>
      </c>
      <c r="H1183" s="119" t="s">
        <v>326</v>
      </c>
      <c r="I1183" s="162">
        <v>2</v>
      </c>
      <c r="J1183" s="161">
        <v>111540</v>
      </c>
      <c r="K1183" s="9">
        <f>J1183*$S$3</f>
        <v>146117.4</v>
      </c>
      <c r="L1183" s="161">
        <v>16.8</v>
      </c>
      <c r="M1183" s="9">
        <f t="shared" si="80"/>
        <v>170665.12</v>
      </c>
      <c r="N1183" s="948">
        <v>0</v>
      </c>
      <c r="O1183" s="900">
        <f t="shared" si="79"/>
        <v>2</v>
      </c>
      <c r="P1183" s="901">
        <f t="shared" si="81"/>
        <v>341330.24</v>
      </c>
      <c r="Q1183" s="877">
        <v>196</v>
      </c>
      <c r="R1183" s="877" t="s">
        <v>2434</v>
      </c>
      <c r="S1183" s="845"/>
      <c r="T1183" s="858"/>
    </row>
    <row r="1184" spans="1:20" s="885" customFormat="1">
      <c r="A1184" s="915"/>
      <c r="B1184" s="919"/>
      <c r="C1184" s="913"/>
      <c r="D1184" s="126" t="s">
        <v>237</v>
      </c>
      <c r="E1184" s="807" t="s">
        <v>1519</v>
      </c>
      <c r="F1184" s="226"/>
      <c r="G1184" s="116" t="s">
        <v>1520</v>
      </c>
      <c r="H1184" s="119" t="s">
        <v>326</v>
      </c>
      <c r="I1184" s="162">
        <v>2</v>
      </c>
      <c r="J1184" s="161">
        <v>2900</v>
      </c>
      <c r="K1184" s="161">
        <v>3700</v>
      </c>
      <c r="L1184" s="161">
        <v>16.8</v>
      </c>
      <c r="M1184" s="9">
        <f t="shared" si="80"/>
        <v>4321.6000000000004</v>
      </c>
      <c r="N1184" s="948">
        <v>0</v>
      </c>
      <c r="O1184" s="900">
        <f t="shared" si="79"/>
        <v>2</v>
      </c>
      <c r="P1184" s="901">
        <f t="shared" si="81"/>
        <v>8643.2000000000007</v>
      </c>
      <c r="Q1184" s="882">
        <v>127</v>
      </c>
      <c r="R1184" s="882" t="s">
        <v>2436</v>
      </c>
      <c r="S1184" s="883"/>
      <c r="T1184" s="884"/>
    </row>
    <row r="1185" spans="1:20" s="885" customFormat="1" ht="25.5">
      <c r="A1185" s="915"/>
      <c r="B1185" s="919"/>
      <c r="C1185" s="913"/>
      <c r="D1185" s="126" t="s">
        <v>234</v>
      </c>
      <c r="E1185" s="807" t="s">
        <v>1517</v>
      </c>
      <c r="F1185" s="226"/>
      <c r="G1185" s="116" t="s">
        <v>1518</v>
      </c>
      <c r="H1185" s="119" t="s">
        <v>326</v>
      </c>
      <c r="I1185" s="162">
        <v>2</v>
      </c>
      <c r="J1185" s="161">
        <v>5974.16</v>
      </c>
      <c r="K1185" s="9">
        <v>7270</v>
      </c>
      <c r="L1185" s="161">
        <v>16.8</v>
      </c>
      <c r="M1185" s="9">
        <f t="shared" si="80"/>
        <v>8491.36</v>
      </c>
      <c r="N1185" s="948">
        <v>0</v>
      </c>
      <c r="O1185" s="900">
        <f t="shared" si="79"/>
        <v>2</v>
      </c>
      <c r="P1185" s="901">
        <f t="shared" si="81"/>
        <v>16982.72</v>
      </c>
      <c r="Q1185" s="882"/>
      <c r="R1185" s="882" t="s">
        <v>2428</v>
      </c>
      <c r="S1185" s="883"/>
      <c r="T1185" s="884"/>
    </row>
    <row r="1186" spans="1:20" s="610" customFormat="1">
      <c r="A1186" s="915"/>
      <c r="B1186" s="919"/>
      <c r="C1186" s="913"/>
      <c r="D1186" s="126" t="s">
        <v>231</v>
      </c>
      <c r="E1186" s="807" t="s">
        <v>1515</v>
      </c>
      <c r="F1186" s="226"/>
      <c r="G1186" s="116" t="s">
        <v>1516</v>
      </c>
      <c r="H1186" s="119" t="s">
        <v>326</v>
      </c>
      <c r="I1186" s="162">
        <v>2</v>
      </c>
      <c r="J1186" s="161">
        <v>5389.67</v>
      </c>
      <c r="K1186" s="9">
        <f>J1186*$S$3</f>
        <v>7060.4677000000001</v>
      </c>
      <c r="L1186" s="161">
        <v>16.8</v>
      </c>
      <c r="M1186" s="9">
        <f t="shared" si="80"/>
        <v>8246.6299999999992</v>
      </c>
      <c r="N1186" s="948">
        <v>0</v>
      </c>
      <c r="O1186" s="900">
        <f t="shared" si="79"/>
        <v>2</v>
      </c>
      <c r="P1186" s="901">
        <f t="shared" si="81"/>
        <v>16493.259999999998</v>
      </c>
      <c r="Q1186" s="873"/>
      <c r="R1186" s="873"/>
      <c r="S1186" s="840"/>
      <c r="T1186" s="853"/>
    </row>
    <row r="1187" spans="1:20" s="318" customFormat="1">
      <c r="A1187" s="915"/>
      <c r="B1187" s="919"/>
      <c r="C1187" s="913"/>
      <c r="D1187" s="126" t="s">
        <v>19</v>
      </c>
      <c r="E1187" s="127"/>
      <c r="F1187" s="123"/>
      <c r="G1187" s="116" t="s">
        <v>1514</v>
      </c>
      <c r="H1187" s="119"/>
      <c r="I1187" s="162"/>
      <c r="J1187" s="161"/>
      <c r="K1187" s="161"/>
      <c r="L1187" s="161"/>
      <c r="M1187" s="9"/>
      <c r="N1187" s="948"/>
      <c r="O1187" s="900"/>
      <c r="P1187" s="901"/>
      <c r="Q1187" s="874"/>
      <c r="R1187" s="874"/>
      <c r="S1187" s="841"/>
      <c r="T1187" s="854"/>
    </row>
    <row r="1188" spans="1:20" s="837" customFormat="1">
      <c r="A1188" s="915"/>
      <c r="B1188" s="919"/>
      <c r="C1188" s="913"/>
      <c r="D1188" s="126" t="s">
        <v>147</v>
      </c>
      <c r="E1188" s="807" t="s">
        <v>1512</v>
      </c>
      <c r="F1188" s="226"/>
      <c r="G1188" s="116" t="s">
        <v>1513</v>
      </c>
      <c r="H1188" s="267" t="s">
        <v>326</v>
      </c>
      <c r="I1188" s="268">
        <v>1</v>
      </c>
      <c r="J1188" s="161">
        <v>44581.69</v>
      </c>
      <c r="K1188" s="9">
        <f>J1188*$S$3</f>
        <v>58402.013900000005</v>
      </c>
      <c r="L1188" s="161">
        <v>16.8</v>
      </c>
      <c r="M1188" s="9">
        <f t="shared" si="80"/>
        <v>68213.55</v>
      </c>
      <c r="N1188" s="948">
        <v>0</v>
      </c>
      <c r="O1188" s="900">
        <f t="shared" ref="O1188:O1250" si="82">I1188-N1188</f>
        <v>1</v>
      </c>
      <c r="P1188" s="901">
        <f t="shared" si="81"/>
        <v>68213.55</v>
      </c>
      <c r="Q1188" s="877">
        <v>200</v>
      </c>
      <c r="R1188" s="877" t="s">
        <v>2437</v>
      </c>
      <c r="S1188" s="845"/>
      <c r="T1188" s="858"/>
    </row>
    <row r="1189" spans="1:20" s="318" customFormat="1">
      <c r="A1189" s="915"/>
      <c r="B1189" s="919"/>
      <c r="C1189" s="913"/>
      <c r="D1189" s="126" t="s">
        <v>18</v>
      </c>
      <c r="E1189" s="127"/>
      <c r="F1189" s="123"/>
      <c r="G1189" s="116" t="s">
        <v>907</v>
      </c>
      <c r="H1189" s="119"/>
      <c r="I1189" s="162"/>
      <c r="J1189" s="161"/>
      <c r="K1189" s="161"/>
      <c r="L1189" s="161"/>
      <c r="M1189" s="9"/>
      <c r="N1189" s="948"/>
      <c r="O1189" s="900"/>
      <c r="P1189" s="901"/>
      <c r="Q1189" s="874"/>
      <c r="R1189" s="874"/>
      <c r="S1189" s="841"/>
      <c r="T1189" s="854"/>
    </row>
    <row r="1190" spans="1:20" s="344" customFormat="1" ht="25.5">
      <c r="A1190" s="915"/>
      <c r="B1190" s="919"/>
      <c r="C1190" s="913"/>
      <c r="D1190" s="126" t="s">
        <v>201</v>
      </c>
      <c r="E1190" s="805">
        <f>'[3]Plan Tron'!B389</f>
        <v>13418</v>
      </c>
      <c r="F1190" s="805" t="str">
        <f>'[3]Plan Tron'!C389</f>
        <v>SINAPI (INSUMO)</v>
      </c>
      <c r="G1190" s="643" t="str">
        <f>'[3]Plan Tron'!D389</f>
        <v>TORNEIRA CROMADA CURTA SEM BICO PARA TANQUE, PADRAO POPULAR, 1/2 " OU 3/4 " (REF 1140)</v>
      </c>
      <c r="H1190" s="805" t="str">
        <f>'[3]Plan Tron'!E389</f>
        <v xml:space="preserve">UN </v>
      </c>
      <c r="I1190" s="162">
        <v>6</v>
      </c>
      <c r="J1190" s="161">
        <v>21.21</v>
      </c>
      <c r="K1190" s="161">
        <f>'[3]Plan Tron'!F389</f>
        <v>13.26</v>
      </c>
      <c r="L1190" s="161">
        <v>16.8</v>
      </c>
      <c r="M1190" s="9">
        <f t="shared" si="80"/>
        <v>15.49</v>
      </c>
      <c r="N1190" s="948">
        <v>0</v>
      </c>
      <c r="O1190" s="900">
        <f t="shared" si="82"/>
        <v>6</v>
      </c>
      <c r="P1190" s="901">
        <f t="shared" si="81"/>
        <v>92.94</v>
      </c>
      <c r="Q1190" s="874"/>
      <c r="R1190" s="874"/>
      <c r="S1190" s="841"/>
      <c r="T1190" s="854"/>
    </row>
    <row r="1191" spans="1:20" s="344" customFormat="1" ht="25.5">
      <c r="A1191" s="915"/>
      <c r="B1191" s="919"/>
      <c r="C1191" s="913"/>
      <c r="D1191" s="126" t="s">
        <v>198</v>
      </c>
      <c r="E1191" s="805">
        <f>'[3]Plan Tron'!B390</f>
        <v>6010</v>
      </c>
      <c r="F1191" s="805" t="str">
        <f>'[3]Plan Tron'!C390</f>
        <v>SINAPI (INSUMO)</v>
      </c>
      <c r="G1191" s="643" t="str">
        <f>'[3]Plan Tron'!D390</f>
        <v xml:space="preserve">REGISTRO GAVETA BRUTO EM LATAO FORJADO, BITOLA 1 1/2 " (REF 1509) </v>
      </c>
      <c r="H1191" s="805" t="str">
        <f>'[3]Plan Tron'!E390</f>
        <v xml:space="preserve">UN </v>
      </c>
      <c r="I1191" s="162">
        <v>7</v>
      </c>
      <c r="J1191" s="161">
        <v>51.12</v>
      </c>
      <c r="K1191" s="161">
        <f>'[3]Plan Tron'!F390</f>
        <v>54.77</v>
      </c>
      <c r="L1191" s="161">
        <v>16.8</v>
      </c>
      <c r="M1191" s="9">
        <f t="shared" si="80"/>
        <v>63.97</v>
      </c>
      <c r="N1191" s="948">
        <v>0</v>
      </c>
      <c r="O1191" s="900">
        <f t="shared" si="82"/>
        <v>7</v>
      </c>
      <c r="P1191" s="901">
        <f t="shared" si="81"/>
        <v>447.79</v>
      </c>
      <c r="Q1191" s="874"/>
      <c r="R1191" s="874"/>
      <c r="S1191" s="841"/>
      <c r="T1191" s="854"/>
    </row>
    <row r="1192" spans="1:20" s="610" customFormat="1">
      <c r="A1192" s="915"/>
      <c r="B1192" s="919" t="s">
        <v>2457</v>
      </c>
      <c r="C1192" s="913"/>
      <c r="D1192" s="126" t="s">
        <v>390</v>
      </c>
      <c r="E1192" s="807" t="s">
        <v>1510</v>
      </c>
      <c r="F1192" s="226"/>
      <c r="G1192" s="116" t="s">
        <v>1511</v>
      </c>
      <c r="H1192" s="119" t="s">
        <v>246</v>
      </c>
      <c r="I1192" s="162">
        <v>2</v>
      </c>
      <c r="J1192" s="161">
        <v>20.36</v>
      </c>
      <c r="K1192" s="9">
        <f>J1192*$S$3</f>
        <v>26.671600000000002</v>
      </c>
      <c r="L1192" s="161">
        <v>16.8</v>
      </c>
      <c r="M1192" s="9">
        <f t="shared" si="80"/>
        <v>31.15</v>
      </c>
      <c r="N1192" s="948">
        <v>0</v>
      </c>
      <c r="O1192" s="900">
        <f t="shared" si="82"/>
        <v>2</v>
      </c>
      <c r="P1192" s="901">
        <f t="shared" si="81"/>
        <v>62.3</v>
      </c>
      <c r="Q1192" s="873"/>
      <c r="R1192" s="873"/>
      <c r="S1192" s="840"/>
      <c r="T1192" s="853"/>
    </row>
    <row r="1193" spans="1:20" s="318" customFormat="1">
      <c r="A1193" s="915"/>
      <c r="B1193" s="919"/>
      <c r="C1193" s="913"/>
      <c r="D1193" s="126" t="s">
        <v>17</v>
      </c>
      <c r="E1193" s="127"/>
      <c r="F1193" s="123"/>
      <c r="G1193" s="116" t="s">
        <v>1392</v>
      </c>
      <c r="H1193" s="119"/>
      <c r="I1193" s="162"/>
      <c r="J1193" s="161"/>
      <c r="K1193" s="161"/>
      <c r="L1193" s="161"/>
      <c r="M1193" s="9"/>
      <c r="N1193" s="948"/>
      <c r="O1193" s="900"/>
      <c r="P1193" s="901"/>
      <c r="Q1193" s="874"/>
      <c r="R1193" s="874"/>
      <c r="S1193" s="841"/>
      <c r="T1193" s="854"/>
    </row>
    <row r="1194" spans="1:20" s="610" customFormat="1">
      <c r="A1194" s="915"/>
      <c r="B1194" s="919" t="s">
        <v>2457</v>
      </c>
      <c r="C1194" s="913"/>
      <c r="D1194" s="126" t="s">
        <v>195</v>
      </c>
      <c r="E1194" s="807" t="s">
        <v>1508</v>
      </c>
      <c r="F1194" s="226"/>
      <c r="G1194" s="116" t="s">
        <v>1509</v>
      </c>
      <c r="H1194" s="119" t="s">
        <v>246</v>
      </c>
      <c r="I1194" s="162">
        <v>1</v>
      </c>
      <c r="J1194" s="161">
        <v>642.30999999999995</v>
      </c>
      <c r="K1194" s="9">
        <f>J1194*$S$3</f>
        <v>841.42610000000002</v>
      </c>
      <c r="L1194" s="161">
        <v>16.8</v>
      </c>
      <c r="M1194" s="9">
        <f t="shared" si="80"/>
        <v>982.79</v>
      </c>
      <c r="N1194" s="948">
        <v>0</v>
      </c>
      <c r="O1194" s="900">
        <f t="shared" si="82"/>
        <v>1</v>
      </c>
      <c r="P1194" s="901">
        <f t="shared" si="81"/>
        <v>982.79</v>
      </c>
      <c r="Q1194" s="873"/>
      <c r="R1194" s="873"/>
      <c r="S1194" s="840"/>
      <c r="T1194" s="853"/>
    </row>
    <row r="1195" spans="1:20" s="610" customFormat="1" ht="25.5">
      <c r="A1195" s="915"/>
      <c r="B1195" s="919" t="s">
        <v>2457</v>
      </c>
      <c r="C1195" s="913"/>
      <c r="D1195" s="126" t="s">
        <v>192</v>
      </c>
      <c r="E1195" s="807" t="s">
        <v>1506</v>
      </c>
      <c r="F1195" s="226"/>
      <c r="G1195" s="116" t="s">
        <v>1507</v>
      </c>
      <c r="H1195" s="119" t="s">
        <v>246</v>
      </c>
      <c r="I1195" s="162">
        <v>1</v>
      </c>
      <c r="J1195" s="162">
        <v>503.3</v>
      </c>
      <c r="K1195" s="9">
        <f>J1195*$S$3</f>
        <v>659.32300000000009</v>
      </c>
      <c r="L1195" s="161">
        <v>16.8</v>
      </c>
      <c r="M1195" s="9">
        <f t="shared" si="80"/>
        <v>770.09</v>
      </c>
      <c r="N1195" s="948">
        <v>0</v>
      </c>
      <c r="O1195" s="900">
        <f t="shared" si="82"/>
        <v>1</v>
      </c>
      <c r="P1195" s="901">
        <f t="shared" si="81"/>
        <v>770.09</v>
      </c>
      <c r="Q1195" s="873"/>
      <c r="R1195" s="873"/>
      <c r="S1195" s="840"/>
      <c r="T1195" s="853"/>
    </row>
    <row r="1196" spans="1:20" s="610" customFormat="1" ht="25.5">
      <c r="A1196" s="915"/>
      <c r="B1196" s="919" t="s">
        <v>2457</v>
      </c>
      <c r="C1196" s="913"/>
      <c r="D1196" s="126" t="s">
        <v>280</v>
      </c>
      <c r="E1196" s="807" t="s">
        <v>1504</v>
      </c>
      <c r="F1196" s="226"/>
      <c r="G1196" s="116" t="s">
        <v>1505</v>
      </c>
      <c r="H1196" s="119" t="s">
        <v>246</v>
      </c>
      <c r="I1196" s="162">
        <v>1</v>
      </c>
      <c r="J1196" s="161">
        <v>951.11</v>
      </c>
      <c r="K1196" s="9">
        <f>J1196*$S$3</f>
        <v>1245.9541000000002</v>
      </c>
      <c r="L1196" s="161">
        <v>16.8</v>
      </c>
      <c r="M1196" s="9">
        <f t="shared" si="80"/>
        <v>1455.27</v>
      </c>
      <c r="N1196" s="948">
        <v>0</v>
      </c>
      <c r="O1196" s="900">
        <f t="shared" si="82"/>
        <v>1</v>
      </c>
      <c r="P1196" s="901">
        <f t="shared" si="81"/>
        <v>1455.27</v>
      </c>
      <c r="Q1196" s="873"/>
      <c r="R1196" s="873"/>
      <c r="S1196" s="840"/>
      <c r="T1196" s="853"/>
    </row>
    <row r="1197" spans="1:20" s="318" customFormat="1">
      <c r="A1197" s="915"/>
      <c r="B1197" s="919"/>
      <c r="C1197" s="913"/>
      <c r="D1197" s="126" t="s">
        <v>16</v>
      </c>
      <c r="E1197" s="127"/>
      <c r="F1197" s="123"/>
      <c r="G1197" s="116" t="s">
        <v>335</v>
      </c>
      <c r="H1197" s="119"/>
      <c r="I1197" s="162"/>
      <c r="J1197" s="161"/>
      <c r="K1197" s="161"/>
      <c r="L1197" s="161"/>
      <c r="M1197" s="9"/>
      <c r="N1197" s="948"/>
      <c r="O1197" s="900"/>
      <c r="P1197" s="901"/>
      <c r="Q1197" s="874"/>
      <c r="R1197" s="874"/>
      <c r="S1197" s="841"/>
      <c r="T1197" s="854"/>
    </row>
    <row r="1198" spans="1:20" s="610" customFormat="1">
      <c r="A1198" s="915"/>
      <c r="B1198" s="919" t="s">
        <v>2457</v>
      </c>
      <c r="C1198" s="913"/>
      <c r="D1198" s="126" t="s">
        <v>270</v>
      </c>
      <c r="E1198" s="807" t="s">
        <v>1209</v>
      </c>
      <c r="F1198" s="226"/>
      <c r="G1198" s="116" t="s">
        <v>1503</v>
      </c>
      <c r="H1198" s="119" t="s">
        <v>246</v>
      </c>
      <c r="I1198" s="162">
        <v>1</v>
      </c>
      <c r="J1198" s="161">
        <v>127.25</v>
      </c>
      <c r="K1198" s="9">
        <f>J1198*$S$3</f>
        <v>166.69750000000002</v>
      </c>
      <c r="L1198" s="161">
        <v>16.8</v>
      </c>
      <c r="M1198" s="9">
        <f t="shared" si="80"/>
        <v>194.7</v>
      </c>
      <c r="N1198" s="948">
        <v>0</v>
      </c>
      <c r="O1198" s="900">
        <f t="shared" si="82"/>
        <v>1</v>
      </c>
      <c r="P1198" s="901">
        <f t="shared" si="81"/>
        <v>194.7</v>
      </c>
      <c r="Q1198" s="873"/>
      <c r="R1198" s="873"/>
      <c r="S1198" s="840"/>
      <c r="T1198" s="853"/>
    </row>
    <row r="1199" spans="1:20" s="610" customFormat="1">
      <c r="A1199" s="915"/>
      <c r="B1199" s="919" t="s">
        <v>2457</v>
      </c>
      <c r="C1199" s="913"/>
      <c r="D1199" s="126" t="s">
        <v>369</v>
      </c>
      <c r="E1199" s="807" t="s">
        <v>1501</v>
      </c>
      <c r="F1199" s="226"/>
      <c r="G1199" s="116" t="s">
        <v>1502</v>
      </c>
      <c r="H1199" s="119" t="s">
        <v>246</v>
      </c>
      <c r="I1199" s="162">
        <v>1</v>
      </c>
      <c r="J1199" s="161">
        <v>82.76</v>
      </c>
      <c r="K1199" s="9">
        <f>J1199*$S$3</f>
        <v>108.41560000000001</v>
      </c>
      <c r="L1199" s="161">
        <v>16.8</v>
      </c>
      <c r="M1199" s="9">
        <f t="shared" si="80"/>
        <v>126.63</v>
      </c>
      <c r="N1199" s="948">
        <v>0</v>
      </c>
      <c r="O1199" s="900">
        <f t="shared" si="82"/>
        <v>1</v>
      </c>
      <c r="P1199" s="901">
        <f t="shared" si="81"/>
        <v>126.63</v>
      </c>
      <c r="Q1199" s="873"/>
      <c r="R1199" s="873"/>
      <c r="S1199" s="840"/>
      <c r="T1199" s="853"/>
    </row>
    <row r="1200" spans="1:20" s="610" customFormat="1">
      <c r="A1200" s="915"/>
      <c r="B1200" s="919" t="s">
        <v>2457</v>
      </c>
      <c r="C1200" s="913"/>
      <c r="D1200" s="126" t="s">
        <v>367</v>
      </c>
      <c r="E1200" s="807" t="s">
        <v>1326</v>
      </c>
      <c r="F1200" s="226"/>
      <c r="G1200" s="116" t="s">
        <v>1500</v>
      </c>
      <c r="H1200" s="119" t="s">
        <v>246</v>
      </c>
      <c r="I1200" s="162">
        <v>1</v>
      </c>
      <c r="J1200" s="161">
        <v>163.44</v>
      </c>
      <c r="K1200" s="9">
        <f>J1200*$S$3</f>
        <v>214.10640000000001</v>
      </c>
      <c r="L1200" s="161">
        <v>16.8</v>
      </c>
      <c r="M1200" s="9">
        <f t="shared" si="80"/>
        <v>250.08</v>
      </c>
      <c r="N1200" s="948">
        <v>0</v>
      </c>
      <c r="O1200" s="900">
        <f t="shared" si="82"/>
        <v>1</v>
      </c>
      <c r="P1200" s="901">
        <f t="shared" si="81"/>
        <v>250.08</v>
      </c>
      <c r="Q1200" s="873"/>
      <c r="R1200" s="873"/>
      <c r="S1200" s="840"/>
      <c r="T1200" s="853"/>
    </row>
    <row r="1201" spans="1:20" s="610" customFormat="1" ht="25.5">
      <c r="A1201" s="915"/>
      <c r="B1201" s="919" t="s">
        <v>2457</v>
      </c>
      <c r="C1201" s="913"/>
      <c r="D1201" s="126" t="s">
        <v>365</v>
      </c>
      <c r="E1201" s="807" t="s">
        <v>1200</v>
      </c>
      <c r="F1201" s="226"/>
      <c r="G1201" s="116" t="s">
        <v>1372</v>
      </c>
      <c r="H1201" s="119" t="s">
        <v>326</v>
      </c>
      <c r="I1201" s="162">
        <v>5</v>
      </c>
      <c r="J1201" s="161">
        <v>58.27</v>
      </c>
      <c r="K1201" s="9">
        <f>J1201*$S$3</f>
        <v>76.333700000000007</v>
      </c>
      <c r="L1201" s="161">
        <v>16.8</v>
      </c>
      <c r="M1201" s="9">
        <f t="shared" si="80"/>
        <v>89.16</v>
      </c>
      <c r="N1201" s="948">
        <v>0</v>
      </c>
      <c r="O1201" s="900">
        <f t="shared" si="82"/>
        <v>5</v>
      </c>
      <c r="P1201" s="901">
        <f t="shared" si="81"/>
        <v>445.8</v>
      </c>
      <c r="Q1201" s="873"/>
      <c r="R1201" s="873"/>
      <c r="S1201" s="840"/>
      <c r="T1201" s="853"/>
    </row>
    <row r="1202" spans="1:20" s="318" customFormat="1">
      <c r="A1202" s="915"/>
      <c r="B1202" s="919"/>
      <c r="C1202" s="913"/>
      <c r="D1202" s="126"/>
      <c r="E1202" s="807"/>
      <c r="F1202" s="226"/>
      <c r="G1202" s="116"/>
      <c r="H1202" s="119"/>
      <c r="I1202" s="162"/>
      <c r="J1202" s="161"/>
      <c r="K1202" s="161"/>
      <c r="L1202" s="161"/>
      <c r="M1202" s="9"/>
      <c r="N1202" s="948"/>
      <c r="O1202" s="900"/>
      <c r="P1202" s="901"/>
      <c r="Q1202" s="874"/>
      <c r="R1202" s="874"/>
      <c r="S1202" s="841"/>
      <c r="T1202" s="854"/>
    </row>
    <row r="1203" spans="1:20" s="318" customFormat="1">
      <c r="A1203" s="915"/>
      <c r="B1203" s="919"/>
      <c r="C1203" s="913"/>
      <c r="D1203" s="126"/>
      <c r="E1203" s="807"/>
      <c r="F1203" s="226"/>
      <c r="G1203" s="116"/>
      <c r="H1203" s="119"/>
      <c r="I1203" s="162"/>
      <c r="J1203" s="161"/>
      <c r="K1203" s="161"/>
      <c r="L1203" s="161"/>
      <c r="M1203" s="9"/>
      <c r="N1203" s="948"/>
      <c r="O1203" s="900"/>
      <c r="P1203" s="901"/>
      <c r="Q1203" s="874"/>
      <c r="R1203" s="874"/>
      <c r="S1203" s="841"/>
      <c r="T1203" s="854"/>
    </row>
    <row r="1204" spans="1:20" s="318" customFormat="1">
      <c r="A1204" s="915"/>
      <c r="B1204" s="919"/>
      <c r="C1204" s="913"/>
      <c r="D1204" s="126" t="s">
        <v>15</v>
      </c>
      <c r="E1204" s="127"/>
      <c r="F1204" s="123"/>
      <c r="G1204" s="116" t="s">
        <v>460</v>
      </c>
      <c r="H1204" s="119"/>
      <c r="I1204" s="162"/>
      <c r="J1204" s="161"/>
      <c r="K1204" s="161"/>
      <c r="L1204" s="161"/>
      <c r="M1204" s="9"/>
      <c r="N1204" s="948"/>
      <c r="O1204" s="900"/>
      <c r="P1204" s="901"/>
      <c r="Q1204" s="874"/>
      <c r="R1204" s="874"/>
      <c r="S1204" s="841"/>
      <c r="T1204" s="854"/>
    </row>
    <row r="1205" spans="1:20" s="610" customFormat="1">
      <c r="A1205" s="915"/>
      <c r="B1205" s="919" t="s">
        <v>2457</v>
      </c>
      <c r="C1205" s="913"/>
      <c r="D1205" s="126" t="s">
        <v>249</v>
      </c>
      <c r="E1205" s="807" t="s">
        <v>1498</v>
      </c>
      <c r="F1205" s="226"/>
      <c r="G1205" s="116" t="s">
        <v>1499</v>
      </c>
      <c r="H1205" s="119" t="s">
        <v>110</v>
      </c>
      <c r="I1205" s="162">
        <v>5</v>
      </c>
      <c r="J1205" s="161">
        <v>144.63</v>
      </c>
      <c r="K1205" s="9">
        <f>J1205*$S$3</f>
        <v>189.46530000000001</v>
      </c>
      <c r="L1205" s="161">
        <v>16.8</v>
      </c>
      <c r="M1205" s="9">
        <f t="shared" si="80"/>
        <v>221.3</v>
      </c>
      <c r="N1205" s="948">
        <v>0</v>
      </c>
      <c r="O1205" s="900">
        <f t="shared" si="82"/>
        <v>5</v>
      </c>
      <c r="P1205" s="901">
        <f t="shared" si="81"/>
        <v>1106.5</v>
      </c>
      <c r="Q1205" s="873"/>
      <c r="R1205" s="873"/>
      <c r="S1205" s="840"/>
      <c r="T1205" s="853"/>
    </row>
    <row r="1206" spans="1:20" s="610" customFormat="1">
      <c r="A1206" s="915"/>
      <c r="B1206" s="919" t="s">
        <v>2457</v>
      </c>
      <c r="C1206" s="913"/>
      <c r="D1206" s="126" t="s">
        <v>265</v>
      </c>
      <c r="E1206" s="807" t="s">
        <v>362</v>
      </c>
      <c r="F1206" s="226"/>
      <c r="G1206" s="116" t="s">
        <v>1497</v>
      </c>
      <c r="H1206" s="119" t="s">
        <v>110</v>
      </c>
      <c r="I1206" s="162">
        <v>12.72</v>
      </c>
      <c r="J1206" s="161">
        <v>213.12</v>
      </c>
      <c r="K1206" s="9">
        <f>J1206*$S$3</f>
        <v>279.18720000000002</v>
      </c>
      <c r="L1206" s="161">
        <v>16.8</v>
      </c>
      <c r="M1206" s="9">
        <f t="shared" si="80"/>
        <v>326.08999999999997</v>
      </c>
      <c r="N1206" s="948">
        <v>0</v>
      </c>
      <c r="O1206" s="900">
        <f t="shared" si="82"/>
        <v>12.72</v>
      </c>
      <c r="P1206" s="901">
        <f t="shared" si="81"/>
        <v>4147.8599999999997</v>
      </c>
      <c r="Q1206" s="873"/>
      <c r="R1206" s="873"/>
      <c r="S1206" s="840"/>
      <c r="T1206" s="853"/>
    </row>
    <row r="1207" spans="1:20" s="610" customFormat="1">
      <c r="A1207" s="915"/>
      <c r="B1207" s="919" t="s">
        <v>2457</v>
      </c>
      <c r="C1207" s="913"/>
      <c r="D1207" s="126" t="s">
        <v>263</v>
      </c>
      <c r="E1207" s="807" t="s">
        <v>1495</v>
      </c>
      <c r="F1207" s="226"/>
      <c r="G1207" s="116" t="s">
        <v>1496</v>
      </c>
      <c r="H1207" s="119" t="s">
        <v>110</v>
      </c>
      <c r="I1207" s="162">
        <v>7.2</v>
      </c>
      <c r="J1207" s="161">
        <v>180.79</v>
      </c>
      <c r="K1207" s="9">
        <f>J1207*$S$3</f>
        <v>236.8349</v>
      </c>
      <c r="L1207" s="161">
        <v>16.8</v>
      </c>
      <c r="M1207" s="9">
        <f t="shared" si="80"/>
        <v>276.62</v>
      </c>
      <c r="N1207" s="948">
        <v>0</v>
      </c>
      <c r="O1207" s="900">
        <f t="shared" si="82"/>
        <v>7.2</v>
      </c>
      <c r="P1207" s="901">
        <f t="shared" si="81"/>
        <v>1991.66</v>
      </c>
      <c r="Q1207" s="873"/>
      <c r="R1207" s="873"/>
      <c r="S1207" s="840"/>
      <c r="T1207" s="853"/>
    </row>
    <row r="1208" spans="1:20" s="318" customFormat="1">
      <c r="A1208" s="915"/>
      <c r="B1208" s="919"/>
      <c r="C1208" s="913"/>
      <c r="D1208" s="126" t="s">
        <v>14</v>
      </c>
      <c r="E1208" s="127"/>
      <c r="F1208" s="123"/>
      <c r="G1208" s="116" t="s">
        <v>1310</v>
      </c>
      <c r="H1208" s="119"/>
      <c r="I1208" s="162"/>
      <c r="J1208" s="161"/>
      <c r="K1208" s="161"/>
      <c r="L1208" s="161"/>
      <c r="M1208" s="9"/>
      <c r="N1208" s="948"/>
      <c r="O1208" s="900"/>
      <c r="P1208" s="901"/>
      <c r="Q1208" s="874"/>
      <c r="R1208" s="874"/>
      <c r="S1208" s="841"/>
      <c r="T1208" s="854"/>
    </row>
    <row r="1209" spans="1:20" s="344" customFormat="1" ht="25.5">
      <c r="A1209" s="915"/>
      <c r="B1209" s="919"/>
      <c r="C1209" s="913"/>
      <c r="D1209" s="126" t="s">
        <v>181</v>
      </c>
      <c r="E1209" s="805">
        <f>'[3]Plan Tron'!B391</f>
        <v>9874</v>
      </c>
      <c r="F1209" s="805" t="str">
        <f>'[3]Plan Tron'!C391</f>
        <v>SINAPI (INSUMO)</v>
      </c>
      <c r="G1209" s="643" t="str">
        <f>'[3]Plan Tron'!D391</f>
        <v xml:space="preserve">TUBO PVC, SOLDAVEL, DN 40 MM, AGUA FRIA (NBR-5648) </v>
      </c>
      <c r="H1209" s="805" t="str">
        <f>'[3]Plan Tron'!E391</f>
        <v>M</v>
      </c>
      <c r="I1209" s="162">
        <v>24</v>
      </c>
      <c r="J1209" s="161">
        <v>7.98</v>
      </c>
      <c r="K1209" s="161">
        <f>'[3]Plan Tron'!F391</f>
        <v>8.4700000000000006</v>
      </c>
      <c r="L1209" s="161">
        <v>16.8</v>
      </c>
      <c r="M1209" s="9">
        <f t="shared" si="80"/>
        <v>9.89</v>
      </c>
      <c r="N1209" s="948">
        <v>0</v>
      </c>
      <c r="O1209" s="900">
        <f t="shared" si="82"/>
        <v>24</v>
      </c>
      <c r="P1209" s="901">
        <f t="shared" si="81"/>
        <v>237.36</v>
      </c>
      <c r="Q1209" s="874"/>
      <c r="R1209" s="874"/>
      <c r="S1209" s="841"/>
      <c r="T1209" s="854"/>
    </row>
    <row r="1210" spans="1:20" s="344" customFormat="1" ht="25.5">
      <c r="A1210" s="915"/>
      <c r="B1210" s="919"/>
      <c r="C1210" s="913"/>
      <c r="D1210" s="126" t="s">
        <v>180</v>
      </c>
      <c r="E1210" s="805">
        <f>'[3]Plan Tron'!B392</f>
        <v>9870</v>
      </c>
      <c r="F1210" s="805" t="str">
        <f>'[3]Plan Tron'!C392</f>
        <v>SINAPI (INSUMO)</v>
      </c>
      <c r="G1210" s="643" t="str">
        <f>'[3]Plan Tron'!D392</f>
        <v xml:space="preserve">TUBO PVC, SOLDAVEL, DN 110 MM, AGUA FRIA (NBR-5648) </v>
      </c>
      <c r="H1210" s="805" t="str">
        <f>'[3]Plan Tron'!E392</f>
        <v>M</v>
      </c>
      <c r="I1210" s="162">
        <v>30</v>
      </c>
      <c r="J1210" s="161">
        <v>54.72</v>
      </c>
      <c r="K1210" s="161">
        <f>'[3]Plan Tron'!F392</f>
        <v>48.83</v>
      </c>
      <c r="L1210" s="161">
        <v>16.8</v>
      </c>
      <c r="M1210" s="9">
        <f t="shared" si="80"/>
        <v>57.03</v>
      </c>
      <c r="N1210" s="948">
        <v>0</v>
      </c>
      <c r="O1210" s="900">
        <f t="shared" si="82"/>
        <v>30</v>
      </c>
      <c r="P1210" s="901">
        <f t="shared" si="81"/>
        <v>1710.9</v>
      </c>
      <c r="Q1210" s="874"/>
      <c r="R1210" s="874"/>
      <c r="S1210" s="841"/>
      <c r="T1210" s="854"/>
    </row>
    <row r="1211" spans="1:20" s="344" customFormat="1" ht="25.5">
      <c r="A1211" s="915"/>
      <c r="B1211" s="919"/>
      <c r="C1211" s="913"/>
      <c r="D1211" s="126" t="s">
        <v>179</v>
      </c>
      <c r="E1211" s="805">
        <f>E1210</f>
        <v>9870</v>
      </c>
      <c r="F1211" s="805" t="str">
        <f>F1210</f>
        <v>SINAPI (INSUMO)</v>
      </c>
      <c r="G1211" s="808" t="str">
        <f>G1210</f>
        <v xml:space="preserve">TUBO PVC, SOLDAVEL, DN 110 MM, AGUA FRIA (NBR-5648) </v>
      </c>
      <c r="H1211" s="809" t="str">
        <f>H1210</f>
        <v>M</v>
      </c>
      <c r="I1211" s="162">
        <v>12</v>
      </c>
      <c r="J1211" s="161">
        <f>J1210</f>
        <v>54.72</v>
      </c>
      <c r="K1211" s="161">
        <f>K1210</f>
        <v>48.83</v>
      </c>
      <c r="L1211" s="161">
        <v>16.8</v>
      </c>
      <c r="M1211" s="9">
        <f t="shared" si="80"/>
        <v>57.03</v>
      </c>
      <c r="N1211" s="948">
        <v>0</v>
      </c>
      <c r="O1211" s="900">
        <f t="shared" si="82"/>
        <v>12</v>
      </c>
      <c r="P1211" s="901">
        <f t="shared" si="81"/>
        <v>684.36</v>
      </c>
      <c r="Q1211" s="874"/>
      <c r="R1211" s="874"/>
      <c r="S1211" s="841"/>
      <c r="T1211" s="854"/>
    </row>
    <row r="1212" spans="1:20" s="344" customFormat="1" ht="25.5">
      <c r="A1212" s="915"/>
      <c r="B1212" s="919"/>
      <c r="C1212" s="913"/>
      <c r="D1212" s="126" t="s">
        <v>178</v>
      </c>
      <c r="E1212" s="805">
        <f>'[3]Plan Tron'!B393</f>
        <v>9875</v>
      </c>
      <c r="F1212" s="805" t="str">
        <f>'[3]Plan Tron'!C393</f>
        <v>SINAPI (INSUMO)</v>
      </c>
      <c r="G1212" s="643" t="str">
        <f>'[3]Plan Tron'!D393</f>
        <v xml:space="preserve">TUBO PVC, SOLDAVEL, DN 50 MM, PARA AGUA FRIA (NBR-5648) </v>
      </c>
      <c r="H1212" s="805" t="str">
        <f>'[3]Plan Tron'!E393</f>
        <v>M</v>
      </c>
      <c r="I1212" s="162">
        <v>6</v>
      </c>
      <c r="J1212" s="161">
        <f>9.36</f>
        <v>9.36</v>
      </c>
      <c r="K1212" s="161">
        <f>'[3]Plan Tron'!F393</f>
        <v>10.51</v>
      </c>
      <c r="L1212" s="161">
        <v>16.8</v>
      </c>
      <c r="M1212" s="9">
        <f t="shared" si="80"/>
        <v>12.28</v>
      </c>
      <c r="N1212" s="948">
        <v>0</v>
      </c>
      <c r="O1212" s="900">
        <f t="shared" si="82"/>
        <v>6</v>
      </c>
      <c r="P1212" s="901">
        <f t="shared" si="81"/>
        <v>73.680000000000007</v>
      </c>
      <c r="Q1212" s="874"/>
      <c r="R1212" s="874"/>
      <c r="S1212" s="841"/>
      <c r="T1212" s="854"/>
    </row>
    <row r="1213" spans="1:20" s="318" customFormat="1">
      <c r="A1213" s="915"/>
      <c r="B1213" s="919"/>
      <c r="C1213" s="913"/>
      <c r="D1213" s="126" t="s">
        <v>13</v>
      </c>
      <c r="E1213" s="823"/>
      <c r="F1213" s="229"/>
      <c r="G1213" s="116" t="s">
        <v>1494</v>
      </c>
      <c r="H1213" s="119"/>
      <c r="I1213" s="162"/>
      <c r="J1213" s="161"/>
      <c r="K1213" s="161"/>
      <c r="L1213" s="161"/>
      <c r="M1213" s="9"/>
      <c r="N1213" s="948"/>
      <c r="O1213" s="900"/>
      <c r="P1213" s="901"/>
      <c r="Q1213" s="874"/>
      <c r="R1213" s="874"/>
      <c r="S1213" s="841"/>
      <c r="T1213" s="854"/>
    </row>
    <row r="1214" spans="1:20" s="344" customFormat="1" ht="25.5">
      <c r="A1214" s="915"/>
      <c r="B1214" s="919"/>
      <c r="C1214" s="913"/>
      <c r="D1214" s="126" t="s">
        <v>167</v>
      </c>
      <c r="E1214" s="805">
        <f>'[3]Plan Tron'!B394</f>
        <v>3530</v>
      </c>
      <c r="F1214" s="805" t="str">
        <f>'[3]Plan Tron'!C394</f>
        <v>SINAPI (INSUMO)</v>
      </c>
      <c r="G1214" s="643" t="str">
        <f>'[3]Plan Tron'!D394</f>
        <v xml:space="preserve">JOELHO PVC, SOLDAVEL, 90 GRAUS, 110 MM, PARA AGUA FRIA PREDIAL </v>
      </c>
      <c r="H1214" s="805" t="str">
        <f>'[3]Plan Tron'!E394</f>
        <v xml:space="preserve">UN </v>
      </c>
      <c r="I1214" s="162">
        <v>12</v>
      </c>
      <c r="J1214" s="120" t="s">
        <v>1493</v>
      </c>
      <c r="K1214" s="120">
        <f>'[3]Plan Tron'!F394</f>
        <v>175.85</v>
      </c>
      <c r="L1214" s="161">
        <v>16.8</v>
      </c>
      <c r="M1214" s="9">
        <f t="shared" si="80"/>
        <v>205.39</v>
      </c>
      <c r="N1214" s="948">
        <v>0</v>
      </c>
      <c r="O1214" s="900">
        <f t="shared" si="82"/>
        <v>12</v>
      </c>
      <c r="P1214" s="901">
        <f t="shared" si="81"/>
        <v>2464.6799999999998</v>
      </c>
      <c r="Q1214" s="874"/>
      <c r="R1214" s="874"/>
      <c r="S1214" s="841"/>
      <c r="T1214" s="854"/>
    </row>
    <row r="1215" spans="1:20" s="344" customFormat="1" ht="25.5">
      <c r="A1215" s="915"/>
      <c r="B1215" s="919"/>
      <c r="C1215" s="913"/>
      <c r="D1215" s="126" t="s">
        <v>166</v>
      </c>
      <c r="E1215" s="805">
        <f>'[3]Plan Tron'!B395</f>
        <v>3512</v>
      </c>
      <c r="F1215" s="805" t="str">
        <f>'[3]Plan Tron'!C395</f>
        <v>SINAPI (INSUMO)</v>
      </c>
      <c r="G1215" s="643" t="str">
        <f>'[3]Plan Tron'!D395</f>
        <v xml:space="preserve">JOELHO, PVC SOLDAVEL, 45 GRAUS, 110 MM, PARA AGUA FRIA PREDIAL </v>
      </c>
      <c r="H1215" s="805" t="str">
        <f>'[3]Plan Tron'!E395</f>
        <v xml:space="preserve">UN </v>
      </c>
      <c r="I1215" s="162">
        <v>2</v>
      </c>
      <c r="J1215" s="120" t="s">
        <v>1492</v>
      </c>
      <c r="K1215" s="120">
        <f>'[3]Plan Tron'!F395</f>
        <v>160.78</v>
      </c>
      <c r="L1215" s="161">
        <v>16.8</v>
      </c>
      <c r="M1215" s="9">
        <f t="shared" si="80"/>
        <v>187.79</v>
      </c>
      <c r="N1215" s="948">
        <v>0</v>
      </c>
      <c r="O1215" s="900">
        <f t="shared" si="82"/>
        <v>2</v>
      </c>
      <c r="P1215" s="901">
        <f t="shared" si="81"/>
        <v>375.58</v>
      </c>
      <c r="Q1215" s="874"/>
      <c r="R1215" s="874"/>
      <c r="S1215" s="841"/>
      <c r="T1215" s="854"/>
    </row>
    <row r="1216" spans="1:20" s="344" customFormat="1" ht="25.5">
      <c r="A1216" s="915"/>
      <c r="B1216" s="919"/>
      <c r="C1216" s="913"/>
      <c r="D1216" s="126" t="s">
        <v>165</v>
      </c>
      <c r="E1216" s="805">
        <f>'[3]Plan Tron'!B396</f>
        <v>7146</v>
      </c>
      <c r="F1216" s="805" t="str">
        <f>'[3]Plan Tron'!C396</f>
        <v>SINAPI (INSUMO)</v>
      </c>
      <c r="G1216" s="643" t="str">
        <f>'[3]Plan Tron'!D396</f>
        <v xml:space="preserve">TE SOLDAVEL, PVC, 90 GRAUS, 110 MM, PARA AGUA FRIA PREDIAL (NBR 5648) </v>
      </c>
      <c r="H1216" s="805" t="str">
        <f>'[3]Plan Tron'!E396</f>
        <v xml:space="preserve">UN </v>
      </c>
      <c r="I1216" s="162">
        <v>2</v>
      </c>
      <c r="J1216" s="120" t="s">
        <v>1491</v>
      </c>
      <c r="K1216" s="120">
        <f>'[3]Plan Tron'!F396</f>
        <v>128.97999999999999</v>
      </c>
      <c r="L1216" s="161">
        <v>16.8</v>
      </c>
      <c r="M1216" s="9">
        <f t="shared" si="80"/>
        <v>150.65</v>
      </c>
      <c r="N1216" s="948">
        <v>0</v>
      </c>
      <c r="O1216" s="900">
        <f t="shared" si="82"/>
        <v>2</v>
      </c>
      <c r="P1216" s="901">
        <f t="shared" si="81"/>
        <v>301.3</v>
      </c>
      <c r="Q1216" s="874"/>
      <c r="R1216" s="874"/>
      <c r="S1216" s="841"/>
      <c r="T1216" s="854"/>
    </row>
    <row r="1217" spans="1:20" s="318" customFormat="1">
      <c r="A1217" s="915"/>
      <c r="B1217" s="919"/>
      <c r="C1217" s="913"/>
      <c r="D1217" s="126" t="s">
        <v>12</v>
      </c>
      <c r="E1217" s="127"/>
      <c r="F1217" s="123"/>
      <c r="G1217" s="116" t="s">
        <v>1490</v>
      </c>
      <c r="H1217" s="119"/>
      <c r="I1217" s="162"/>
      <c r="J1217" s="161"/>
      <c r="K1217" s="161"/>
      <c r="L1217" s="161"/>
      <c r="M1217" s="9"/>
      <c r="N1217" s="948"/>
      <c r="O1217" s="900"/>
      <c r="P1217" s="901"/>
      <c r="Q1217" s="874"/>
      <c r="R1217" s="874"/>
      <c r="S1217" s="841"/>
      <c r="T1217" s="854"/>
    </row>
    <row r="1218" spans="1:20" s="911" customFormat="1">
      <c r="A1218" s="915"/>
      <c r="B1218" s="919"/>
      <c r="C1218" s="913"/>
      <c r="D1218" s="126" t="s">
        <v>162</v>
      </c>
      <c r="E1218" s="807" t="s">
        <v>1488</v>
      </c>
      <c r="F1218" s="226"/>
      <c r="G1218" s="116" t="s">
        <v>1489</v>
      </c>
      <c r="H1218" s="119" t="s">
        <v>110</v>
      </c>
      <c r="I1218" s="162">
        <v>10</v>
      </c>
      <c r="J1218" s="161">
        <v>193.23</v>
      </c>
      <c r="K1218" s="9">
        <v>270</v>
      </c>
      <c r="L1218" s="161">
        <v>16.8</v>
      </c>
      <c r="M1218" s="9">
        <f t="shared" si="80"/>
        <v>315.36</v>
      </c>
      <c r="N1218" s="948">
        <v>0</v>
      </c>
      <c r="O1218" s="900">
        <f t="shared" si="82"/>
        <v>10</v>
      </c>
      <c r="P1218" s="901">
        <f t="shared" si="81"/>
        <v>3153.6</v>
      </c>
      <c r="Q1218" s="908"/>
      <c r="R1218" s="908" t="s">
        <v>2451</v>
      </c>
      <c r="S1218" s="909"/>
      <c r="T1218" s="910"/>
    </row>
    <row r="1219" spans="1:20" s="318" customFormat="1">
      <c r="A1219" s="915"/>
      <c r="B1219" s="919"/>
      <c r="C1219" s="913"/>
      <c r="D1219" s="126" t="s">
        <v>11</v>
      </c>
      <c r="E1219" s="127"/>
      <c r="F1219" s="123"/>
      <c r="G1219" s="116" t="s">
        <v>689</v>
      </c>
      <c r="H1219" s="119"/>
      <c r="I1219" s="162"/>
      <c r="J1219" s="161"/>
      <c r="K1219" s="161"/>
      <c r="L1219" s="161"/>
      <c r="M1219" s="9"/>
      <c r="N1219" s="948"/>
      <c r="O1219" s="900"/>
      <c r="P1219" s="901"/>
      <c r="Q1219" s="874"/>
      <c r="R1219" s="874"/>
      <c r="S1219" s="841"/>
      <c r="T1219" s="854"/>
    </row>
    <row r="1220" spans="1:20" s="610" customFormat="1" ht="25.5">
      <c r="A1220" s="915"/>
      <c r="B1220" s="919" t="s">
        <v>2457</v>
      </c>
      <c r="C1220" s="913"/>
      <c r="D1220" s="126" t="s">
        <v>160</v>
      </c>
      <c r="E1220" s="807" t="s">
        <v>1486</v>
      </c>
      <c r="F1220" s="226"/>
      <c r="G1220" s="116" t="s">
        <v>1487</v>
      </c>
      <c r="H1220" s="119" t="s">
        <v>110</v>
      </c>
      <c r="I1220" s="162">
        <v>8.5</v>
      </c>
      <c r="J1220" s="161">
        <v>3094</v>
      </c>
      <c r="K1220" s="9">
        <f>J1220*$S$3</f>
        <v>4053.1400000000003</v>
      </c>
      <c r="L1220" s="161">
        <v>16.8</v>
      </c>
      <c r="M1220" s="9">
        <f t="shared" si="80"/>
        <v>4734.07</v>
      </c>
      <c r="N1220" s="948">
        <v>0</v>
      </c>
      <c r="O1220" s="900">
        <f t="shared" si="82"/>
        <v>8.5</v>
      </c>
      <c r="P1220" s="901">
        <f t="shared" si="81"/>
        <v>40239.599999999999</v>
      </c>
      <c r="Q1220" s="873"/>
      <c r="R1220" s="873"/>
      <c r="S1220" s="840"/>
      <c r="T1220" s="853"/>
    </row>
    <row r="1221" spans="1:20" s="318" customFormat="1">
      <c r="A1221" s="915"/>
      <c r="B1221" s="919"/>
      <c r="C1221" s="913"/>
      <c r="D1221" s="126" t="s">
        <v>10</v>
      </c>
      <c r="E1221" s="807"/>
      <c r="F1221" s="116"/>
      <c r="G1221" s="116" t="s">
        <v>825</v>
      </c>
      <c r="H1221" s="267"/>
      <c r="I1221" s="268"/>
      <c r="J1221" s="367"/>
      <c r="K1221" s="367"/>
      <c r="L1221" s="367"/>
      <c r="M1221" s="9"/>
      <c r="N1221" s="948"/>
      <c r="O1221" s="900"/>
      <c r="P1221" s="901"/>
      <c r="Q1221" s="874"/>
      <c r="R1221" s="874"/>
      <c r="S1221" s="841"/>
      <c r="T1221" s="854"/>
    </row>
    <row r="1222" spans="1:20" s="344" customFormat="1" ht="25.5">
      <c r="A1222" s="915"/>
      <c r="B1222" s="919"/>
      <c r="C1222" s="913"/>
      <c r="D1222" s="126" t="s">
        <v>1299</v>
      </c>
      <c r="E1222" s="805">
        <f>'[3]Plan Tron'!B397</f>
        <v>399</v>
      </c>
      <c r="F1222" s="805" t="str">
        <f>'[3]Plan Tron'!C397</f>
        <v>SINAPI (INSUMO)</v>
      </c>
      <c r="G1222" s="643" t="str">
        <f>'[3]Plan Tron'!D397</f>
        <v>ABRACADEIRA EM ACO PARA AMARRACAO DE ELETRODUTOS, TIPO D, COM 4" E PARAFUSO DE FIXACAO</v>
      </c>
      <c r="H1222" s="805" t="str">
        <f>'[3]Plan Tron'!E397</f>
        <v xml:space="preserve">UN </v>
      </c>
      <c r="I1222" s="268">
        <v>16</v>
      </c>
      <c r="J1222" s="367">
        <v>2.06</v>
      </c>
      <c r="K1222" s="367">
        <f>'[3]Plan Tron'!F397</f>
        <v>2.4700000000000002</v>
      </c>
      <c r="L1222" s="161">
        <v>16.8</v>
      </c>
      <c r="M1222" s="9">
        <f t="shared" si="80"/>
        <v>2.88</v>
      </c>
      <c r="N1222" s="948">
        <v>0</v>
      </c>
      <c r="O1222" s="900">
        <f t="shared" si="82"/>
        <v>16</v>
      </c>
      <c r="P1222" s="901">
        <f t="shared" si="81"/>
        <v>46.08</v>
      </c>
      <c r="Q1222" s="874"/>
      <c r="R1222" s="874"/>
      <c r="S1222" s="841"/>
      <c r="T1222" s="854"/>
    </row>
    <row r="1223" spans="1:20" s="318" customFormat="1">
      <c r="A1223" s="915"/>
      <c r="B1223" s="919"/>
      <c r="C1223" s="913"/>
      <c r="D1223" s="126"/>
      <c r="E1223" s="807"/>
      <c r="F1223" s="116"/>
      <c r="G1223" s="116"/>
      <c r="H1223" s="267"/>
      <c r="I1223" s="268"/>
      <c r="J1223" s="367"/>
      <c r="K1223" s="367"/>
      <c r="L1223" s="367"/>
      <c r="M1223" s="9"/>
      <c r="N1223" s="926"/>
      <c r="O1223" s="900"/>
      <c r="P1223" s="901"/>
      <c r="Q1223" s="874"/>
      <c r="R1223" s="874"/>
      <c r="S1223" s="841"/>
      <c r="T1223" s="854"/>
    </row>
    <row r="1224" spans="1:20" s="318" customFormat="1">
      <c r="A1224" s="915"/>
      <c r="B1224" s="919"/>
      <c r="C1224" s="913"/>
      <c r="D1224" s="122"/>
      <c r="E1224" s="127"/>
      <c r="F1224" s="127"/>
      <c r="G1224" s="127"/>
      <c r="H1224" s="270"/>
      <c r="I1224" s="271"/>
      <c r="J1224" s="947"/>
      <c r="K1224" s="947"/>
      <c r="L1224" s="947"/>
      <c r="M1224" s="9"/>
      <c r="N1224" s="936"/>
      <c r="O1224" s="900"/>
      <c r="P1224" s="901"/>
      <c r="Q1224" s="874"/>
      <c r="R1224" s="874"/>
      <c r="S1224" s="841"/>
      <c r="T1224" s="854"/>
    </row>
    <row r="1225" spans="1:20" s="337" customFormat="1">
      <c r="A1225" s="918"/>
      <c r="B1225" s="922"/>
      <c r="C1225" s="924"/>
      <c r="D1225" s="929"/>
      <c r="E1225" s="930"/>
      <c r="F1225" s="929"/>
      <c r="G1225" s="930" t="s">
        <v>70</v>
      </c>
      <c r="H1225" s="929" t="str">
        <f>D1173</f>
        <v>25.6</v>
      </c>
      <c r="I1225" s="929"/>
      <c r="J1225" s="929"/>
      <c r="K1225" s="929"/>
      <c r="L1225" s="929"/>
      <c r="M1225" s="9"/>
      <c r="N1225" s="937"/>
      <c r="O1225" s="900"/>
      <c r="P1225" s="901">
        <f>SUM(P1180:P1222)</f>
        <v>547861.35999999987</v>
      </c>
      <c r="Q1225" s="874"/>
      <c r="R1225" s="874"/>
      <c r="S1225" s="841"/>
      <c r="T1225" s="854"/>
    </row>
    <row r="1226" spans="1:20" s="318" customFormat="1">
      <c r="A1226" s="915"/>
      <c r="B1226" s="919"/>
      <c r="C1226" s="913"/>
      <c r="D1226" s="302"/>
      <c r="E1226" s="819"/>
      <c r="F1226" s="302"/>
      <c r="G1226" s="302"/>
      <c r="H1226" s="302"/>
      <c r="I1226" s="302"/>
      <c r="J1226" s="302"/>
      <c r="K1226" s="302"/>
      <c r="L1226" s="302"/>
      <c r="M1226" s="9"/>
      <c r="N1226" s="375"/>
      <c r="O1226" s="789"/>
      <c r="P1226" s="863"/>
      <c r="Q1226" s="874"/>
      <c r="R1226" s="874"/>
      <c r="S1226" s="841"/>
      <c r="T1226" s="854"/>
    </row>
    <row r="1227" spans="1:20" s="310" customFormat="1" ht="25.5">
      <c r="A1227" s="915"/>
      <c r="B1227" s="919"/>
      <c r="C1227" s="913"/>
      <c r="D1227" s="802" t="s">
        <v>31</v>
      </c>
      <c r="E1227" s="813"/>
      <c r="F1227" s="109"/>
      <c r="G1227" s="305" t="s">
        <v>2013</v>
      </c>
      <c r="H1227" s="109"/>
      <c r="I1227" s="109"/>
      <c r="J1227" s="109"/>
      <c r="K1227" s="109"/>
      <c r="L1227" s="109"/>
      <c r="M1227" s="791"/>
      <c r="N1227" s="378"/>
      <c r="O1227" s="792"/>
      <c r="P1227" s="864"/>
      <c r="Q1227" s="872"/>
      <c r="R1227" s="872"/>
      <c r="S1227" s="842"/>
      <c r="T1227" s="852"/>
    </row>
    <row r="1228" spans="1:20" s="318" customFormat="1">
      <c r="A1228" s="915"/>
      <c r="B1228" s="919"/>
      <c r="C1228" s="913"/>
      <c r="D1228" s="384"/>
      <c r="E1228" s="931"/>
      <c r="F1228" s="384"/>
      <c r="G1228" s="384"/>
      <c r="H1228" s="384"/>
      <c r="I1228" s="384"/>
      <c r="J1228" s="384"/>
      <c r="K1228" s="384"/>
      <c r="L1228" s="384"/>
      <c r="M1228" s="9"/>
      <c r="N1228" s="926"/>
      <c r="O1228" s="900"/>
      <c r="P1228" s="901"/>
      <c r="Q1228" s="874"/>
      <c r="R1228" s="874"/>
      <c r="S1228" s="841"/>
      <c r="T1228" s="854"/>
    </row>
    <row r="1229" spans="1:20" s="318" customFormat="1" ht="25.5">
      <c r="A1229" s="915"/>
      <c r="B1229" s="919"/>
      <c r="C1229" s="913"/>
      <c r="D1229" s="45"/>
      <c r="E1229" s="57"/>
      <c r="F1229" s="57"/>
      <c r="G1229" s="46" t="s">
        <v>1569</v>
      </c>
      <c r="H1229" s="47"/>
      <c r="I1229" s="48"/>
      <c r="J1229" s="9"/>
      <c r="K1229" s="9"/>
      <c r="L1229" s="9"/>
      <c r="M1229" s="9"/>
      <c r="N1229" s="926"/>
      <c r="O1229" s="900"/>
      <c r="P1229" s="901"/>
      <c r="Q1229" s="874"/>
      <c r="R1229" s="874"/>
      <c r="S1229" s="841"/>
      <c r="T1229" s="854"/>
    </row>
    <row r="1230" spans="1:20" s="318" customFormat="1">
      <c r="A1230" s="915"/>
      <c r="B1230" s="919"/>
      <c r="C1230" s="913"/>
      <c r="D1230" s="45"/>
      <c r="E1230" s="57"/>
      <c r="F1230" s="57"/>
      <c r="G1230" s="46"/>
      <c r="H1230" s="47"/>
      <c r="I1230" s="48"/>
      <c r="J1230" s="9"/>
      <c r="K1230" s="9"/>
      <c r="L1230" s="9"/>
      <c r="M1230" s="9"/>
      <c r="N1230" s="926"/>
      <c r="O1230" s="900"/>
      <c r="P1230" s="901"/>
      <c r="Q1230" s="874"/>
      <c r="R1230" s="874"/>
      <c r="S1230" s="841"/>
      <c r="T1230" s="854"/>
    </row>
    <row r="1231" spans="1:20" s="318" customFormat="1">
      <c r="A1231" s="915"/>
      <c r="B1231" s="919"/>
      <c r="C1231" s="913"/>
      <c r="D1231" s="45">
        <v>1</v>
      </c>
      <c r="E1231" s="57"/>
      <c r="F1231" s="57"/>
      <c r="G1231" s="46" t="s">
        <v>1568</v>
      </c>
      <c r="H1231" s="47"/>
      <c r="I1231" s="48"/>
      <c r="J1231" s="9"/>
      <c r="K1231" s="9"/>
      <c r="L1231" s="9"/>
      <c r="M1231" s="9"/>
      <c r="N1231" s="926"/>
      <c r="O1231" s="900"/>
      <c r="P1231" s="901"/>
      <c r="Q1231" s="874"/>
      <c r="R1231" s="874"/>
      <c r="S1231" s="841"/>
      <c r="T1231" s="854"/>
    </row>
    <row r="1232" spans="1:20" s="318" customFormat="1">
      <c r="A1232" s="915"/>
      <c r="B1232" s="919"/>
      <c r="C1232" s="913"/>
      <c r="D1232" s="49" t="s">
        <v>20</v>
      </c>
      <c r="E1232" s="24"/>
      <c r="F1232" s="24"/>
      <c r="G1232" s="12" t="s">
        <v>885</v>
      </c>
      <c r="H1232" s="47"/>
      <c r="I1232" s="48"/>
      <c r="J1232" s="133"/>
      <c r="K1232" s="133"/>
      <c r="L1232" s="133"/>
      <c r="M1232" s="9"/>
      <c r="N1232" s="926"/>
      <c r="O1232" s="900"/>
      <c r="P1232" s="901"/>
      <c r="Q1232" s="874"/>
      <c r="R1232" s="874"/>
      <c r="S1232" s="841"/>
      <c r="T1232" s="854"/>
    </row>
    <row r="1233" spans="1:20" s="610" customFormat="1" ht="25.5">
      <c r="A1233" s="915"/>
      <c r="B1233" s="919"/>
      <c r="C1233" s="913" t="s">
        <v>2455</v>
      </c>
      <c r="D1233" s="49" t="s">
        <v>153</v>
      </c>
      <c r="E1233" s="24" t="s">
        <v>1566</v>
      </c>
      <c r="F1233" s="60"/>
      <c r="G1233" s="134" t="s">
        <v>1567</v>
      </c>
      <c r="H1233" s="18" t="s">
        <v>183</v>
      </c>
      <c r="I1233" s="36">
        <v>1</v>
      </c>
      <c r="J1233" s="253">
        <v>1725</v>
      </c>
      <c r="K1233" s="9">
        <f>J1233*$S$3</f>
        <v>2259.75</v>
      </c>
      <c r="L1233" s="253">
        <v>16.8</v>
      </c>
      <c r="M1233" s="9">
        <f t="shared" ref="M1233:M1286" si="83">ROUND(K1233*(L1233/100+1),2)</f>
        <v>2639.39</v>
      </c>
      <c r="N1233" s="948">
        <v>0</v>
      </c>
      <c r="O1233" s="900">
        <f t="shared" si="82"/>
        <v>1</v>
      </c>
      <c r="P1233" s="901">
        <f t="shared" ref="P1233:P1286" si="84">ROUND(O1233*M1233,2)</f>
        <v>2639.39</v>
      </c>
      <c r="Q1233" s="873"/>
      <c r="R1233" s="873"/>
      <c r="S1233" s="840"/>
      <c r="T1233" s="853"/>
    </row>
    <row r="1234" spans="1:20" s="318" customFormat="1">
      <c r="A1234" s="915"/>
      <c r="B1234" s="919"/>
      <c r="C1234" s="913"/>
      <c r="D1234" s="49" t="s">
        <v>19</v>
      </c>
      <c r="E1234" s="822"/>
      <c r="F1234" s="355"/>
      <c r="G1234" s="12" t="s">
        <v>182</v>
      </c>
      <c r="H1234" s="196"/>
      <c r="I1234" s="197"/>
      <c r="J1234" s="276"/>
      <c r="K1234" s="276"/>
      <c r="L1234" s="276"/>
      <c r="M1234" s="9"/>
      <c r="N1234" s="926"/>
      <c r="O1234" s="900"/>
      <c r="P1234" s="901"/>
      <c r="Q1234" s="874"/>
      <c r="R1234" s="874"/>
      <c r="S1234" s="841"/>
      <c r="T1234" s="854"/>
    </row>
    <row r="1235" spans="1:20" s="610" customFormat="1" ht="51">
      <c r="A1235" s="915"/>
      <c r="B1235" s="919"/>
      <c r="C1235" s="913" t="s">
        <v>2455</v>
      </c>
      <c r="D1235" s="49" t="s">
        <v>147</v>
      </c>
      <c r="E1235" s="24" t="s">
        <v>229</v>
      </c>
      <c r="F1235" s="60"/>
      <c r="G1235" s="943" t="s">
        <v>784</v>
      </c>
      <c r="H1235" s="18" t="s">
        <v>110</v>
      </c>
      <c r="I1235" s="36">
        <v>90</v>
      </c>
      <c r="J1235" s="253">
        <v>4.26</v>
      </c>
      <c r="K1235" s="9">
        <f>J1235*$S$3</f>
        <v>5.5805999999999996</v>
      </c>
      <c r="L1235" s="253">
        <v>16.8</v>
      </c>
      <c r="M1235" s="9">
        <f t="shared" si="83"/>
        <v>6.52</v>
      </c>
      <c r="N1235" s="948">
        <v>0</v>
      </c>
      <c r="O1235" s="900">
        <f t="shared" si="82"/>
        <v>90</v>
      </c>
      <c r="P1235" s="901">
        <f t="shared" si="84"/>
        <v>586.79999999999995</v>
      </c>
      <c r="Q1235" s="873"/>
      <c r="R1235" s="873"/>
      <c r="S1235" s="840"/>
      <c r="T1235" s="853"/>
    </row>
    <row r="1236" spans="1:20" s="610" customFormat="1" ht="38.25">
      <c r="A1236" s="915"/>
      <c r="B1236" s="919"/>
      <c r="C1236" s="913" t="s">
        <v>2455</v>
      </c>
      <c r="D1236" s="49" t="s">
        <v>213</v>
      </c>
      <c r="E1236" s="24" t="s">
        <v>1564</v>
      </c>
      <c r="F1236" s="60"/>
      <c r="G1236" s="943" t="s">
        <v>1565</v>
      </c>
      <c r="H1236" s="18" t="s">
        <v>110</v>
      </c>
      <c r="I1236" s="36">
        <v>50</v>
      </c>
      <c r="J1236" s="253">
        <v>6.27</v>
      </c>
      <c r="K1236" s="9">
        <f>J1236*$S$3</f>
        <v>8.2136999999999993</v>
      </c>
      <c r="L1236" s="253">
        <v>16.8</v>
      </c>
      <c r="M1236" s="9">
        <f t="shared" si="83"/>
        <v>9.59</v>
      </c>
      <c r="N1236" s="948">
        <v>0</v>
      </c>
      <c r="O1236" s="900">
        <f t="shared" si="82"/>
        <v>50</v>
      </c>
      <c r="P1236" s="901">
        <f t="shared" si="84"/>
        <v>479.5</v>
      </c>
      <c r="Q1236" s="873"/>
      <c r="R1236" s="873"/>
      <c r="S1236" s="840"/>
      <c r="T1236" s="853"/>
    </row>
    <row r="1237" spans="1:20" s="318" customFormat="1">
      <c r="A1237" s="915"/>
      <c r="B1237" s="919"/>
      <c r="C1237" s="913"/>
      <c r="D1237" s="49" t="s">
        <v>18</v>
      </c>
      <c r="E1237" s="822"/>
      <c r="F1237" s="355"/>
      <c r="G1237" s="12" t="s">
        <v>168</v>
      </c>
      <c r="H1237" s="47"/>
      <c r="I1237" s="48"/>
      <c r="J1237" s="253"/>
      <c r="K1237" s="253"/>
      <c r="L1237" s="253"/>
      <c r="M1237" s="9"/>
      <c r="N1237" s="926"/>
      <c r="O1237" s="900"/>
      <c r="P1237" s="901"/>
      <c r="Q1237" s="874"/>
      <c r="R1237" s="874"/>
      <c r="S1237" s="841"/>
      <c r="T1237" s="854"/>
    </row>
    <row r="1238" spans="1:20" s="344" customFormat="1" ht="25.5">
      <c r="A1238" s="915"/>
      <c r="B1238" s="919"/>
      <c r="C1238" s="913"/>
      <c r="D1238" s="49" t="s">
        <v>201</v>
      </c>
      <c r="E1238" s="805">
        <f>'[3]Plan Tron'!B398</f>
        <v>21132</v>
      </c>
      <c r="F1238" s="805" t="str">
        <f>'[3]Plan Tron'!C398</f>
        <v>SINAPI (INSUMO)</v>
      </c>
      <c r="G1238" s="643" t="str">
        <f>'[3]Plan Tron'!D398</f>
        <v>ELETRODUTO EM ACO GALVANIZADO ELETROLITICO, PESADO, DIAMETRO 4", PAREDE DE 2,25 MM</v>
      </c>
      <c r="H1238" s="805" t="str">
        <f>'[3]Plan Tron'!E398</f>
        <v>M</v>
      </c>
      <c r="I1238" s="36">
        <v>6</v>
      </c>
      <c r="J1238" s="253">
        <v>60.84</v>
      </c>
      <c r="K1238" s="253">
        <f>'[3]Plan Tron'!F398</f>
        <v>55.71</v>
      </c>
      <c r="L1238" s="253">
        <v>16.8</v>
      </c>
      <c r="M1238" s="9">
        <f t="shared" si="83"/>
        <v>65.069999999999993</v>
      </c>
      <c r="N1238" s="948">
        <v>0</v>
      </c>
      <c r="O1238" s="900">
        <f t="shared" si="82"/>
        <v>6</v>
      </c>
      <c r="P1238" s="901">
        <f t="shared" si="84"/>
        <v>390.42</v>
      </c>
      <c r="Q1238" s="874"/>
      <c r="R1238" s="874"/>
      <c r="S1238" s="841"/>
      <c r="T1238" s="854"/>
    </row>
    <row r="1239" spans="1:20" s="344" customFormat="1" ht="25.5">
      <c r="A1239" s="915"/>
      <c r="B1239" s="919"/>
      <c r="C1239" s="913"/>
      <c r="D1239" s="49" t="s">
        <v>198</v>
      </c>
      <c r="E1239" s="805">
        <f>'[3]Plan Tron'!B399</f>
        <v>2503</v>
      </c>
      <c r="F1239" s="805" t="str">
        <f>'[3]Plan Tron'!C399</f>
        <v>SINAPI (INSUMO)</v>
      </c>
      <c r="G1239" s="643" t="str">
        <f>'[3]Plan Tron'!D399</f>
        <v>ELETRODUTO FLEXIVEL, EM ACO GALVANIZADO, REVESTIDO EXTERNAMENTE COM PVC PRETO, DIAMETRO EXTERNO DE 50 MM( 1 1/2"), TIPO SEALTUBO</v>
      </c>
      <c r="H1239" s="805" t="str">
        <f>'[3]Plan Tron'!E399</f>
        <v>M</v>
      </c>
      <c r="I1239" s="36">
        <v>2</v>
      </c>
      <c r="J1239" s="253">
        <v>29.97</v>
      </c>
      <c r="K1239" s="253">
        <f>'[3]Plan Tron'!F399</f>
        <v>14.49</v>
      </c>
      <c r="L1239" s="253">
        <v>16.8</v>
      </c>
      <c r="M1239" s="9">
        <f t="shared" si="83"/>
        <v>16.920000000000002</v>
      </c>
      <c r="N1239" s="948">
        <v>0</v>
      </c>
      <c r="O1239" s="900">
        <f t="shared" si="82"/>
        <v>2</v>
      </c>
      <c r="P1239" s="901">
        <f t="shared" si="84"/>
        <v>33.840000000000003</v>
      </c>
      <c r="Q1239" s="874"/>
      <c r="R1239" s="874"/>
      <c r="S1239" s="841"/>
      <c r="T1239" s="854"/>
    </row>
    <row r="1240" spans="1:20" s="344" customFormat="1" ht="25.5">
      <c r="A1240" s="915"/>
      <c r="B1240" s="919"/>
      <c r="C1240" s="913"/>
      <c r="D1240" s="49" t="s">
        <v>390</v>
      </c>
      <c r="E1240" s="805">
        <f>'[3]Plan Tron'!B400</f>
        <v>2637</v>
      </c>
      <c r="F1240" s="805" t="str">
        <f>'[3]Plan Tron'!C400</f>
        <v>SINAPI (INSUMO)</v>
      </c>
      <c r="G1240" s="643" t="str">
        <f>'[3]Plan Tron'!D400</f>
        <v xml:space="preserve">LUVA PARA ELETRODUTO, EM ACO GALVANIZADO ELETROLITICO, DIAMETRO DE 20 MM (3/4") </v>
      </c>
      <c r="H1240" s="805" t="str">
        <f>'[3]Plan Tron'!E400</f>
        <v xml:space="preserve">UN </v>
      </c>
      <c r="I1240" s="36">
        <v>30</v>
      </c>
      <c r="J1240" s="253">
        <v>0.89</v>
      </c>
      <c r="K1240" s="253">
        <f>'[3]Plan Tron'!F400</f>
        <v>0.94</v>
      </c>
      <c r="L1240" s="253">
        <v>16.8</v>
      </c>
      <c r="M1240" s="9">
        <f t="shared" si="83"/>
        <v>1.1000000000000001</v>
      </c>
      <c r="N1240" s="948">
        <v>0</v>
      </c>
      <c r="O1240" s="900">
        <f t="shared" si="82"/>
        <v>30</v>
      </c>
      <c r="P1240" s="901">
        <f t="shared" si="84"/>
        <v>33</v>
      </c>
      <c r="Q1240" s="874"/>
      <c r="R1240" s="874"/>
      <c r="S1240" s="841"/>
      <c r="T1240" s="854"/>
    </row>
    <row r="1241" spans="1:20" s="344" customFormat="1" ht="25.5">
      <c r="A1241" s="915"/>
      <c r="B1241" s="919"/>
      <c r="C1241" s="913"/>
      <c r="D1241" s="49" t="s">
        <v>387</v>
      </c>
      <c r="E1241" s="805">
        <f>'[3]Plan Tron'!B401</f>
        <v>2638</v>
      </c>
      <c r="F1241" s="805" t="str">
        <f>'[3]Plan Tron'!C401</f>
        <v>SINAPI (INSUMO)</v>
      </c>
      <c r="G1241" s="643" t="str">
        <f>'[3]Plan Tron'!D401</f>
        <v xml:space="preserve">LUVA PARA ELETRODUTO, EM ACO GALVANIZADO ELETROLITICO, DIAMETRO DE 25 MM (1") </v>
      </c>
      <c r="H1241" s="805" t="str">
        <f>'[3]Plan Tron'!E401</f>
        <v xml:space="preserve">UN </v>
      </c>
      <c r="I1241" s="36">
        <v>18</v>
      </c>
      <c r="J1241" s="253">
        <v>1.03</v>
      </c>
      <c r="K1241" s="253">
        <f>'[3]Plan Tron'!F401</f>
        <v>1.1000000000000001</v>
      </c>
      <c r="L1241" s="253">
        <v>16.8</v>
      </c>
      <c r="M1241" s="9">
        <f t="shared" si="83"/>
        <v>1.28</v>
      </c>
      <c r="N1241" s="948">
        <v>0</v>
      </c>
      <c r="O1241" s="900">
        <f t="shared" si="82"/>
        <v>18</v>
      </c>
      <c r="P1241" s="901">
        <f t="shared" si="84"/>
        <v>23.04</v>
      </c>
      <c r="Q1241" s="874"/>
      <c r="R1241" s="874"/>
      <c r="S1241" s="841"/>
      <c r="T1241" s="854"/>
    </row>
    <row r="1242" spans="1:20" s="344" customFormat="1" ht="25.5">
      <c r="A1242" s="915"/>
      <c r="B1242" s="919"/>
      <c r="C1242" s="913"/>
      <c r="D1242" s="49" t="s">
        <v>384</v>
      </c>
      <c r="E1242" s="805">
        <f>'[3]Plan Tron'!B402</f>
        <v>2644</v>
      </c>
      <c r="F1242" s="805" t="str">
        <f>'[3]Plan Tron'!C402</f>
        <v>SINAPI (INSUMO)</v>
      </c>
      <c r="G1242" s="643" t="str">
        <f>'[3]Plan Tron'!D402</f>
        <v>LUVA PARA ELETRODUTO, EM ACO GALVANIZADO ELETROLITICO, DIAMETRO DE 40 MM (1 1/2")</v>
      </c>
      <c r="H1242" s="805" t="str">
        <f>'[3]Plan Tron'!E402</f>
        <v xml:space="preserve">UN </v>
      </c>
      <c r="I1242" s="36">
        <v>24</v>
      </c>
      <c r="J1242" s="253">
        <v>1.89</v>
      </c>
      <c r="K1242" s="253">
        <f>'[3]Plan Tron'!F402</f>
        <v>2.82</v>
      </c>
      <c r="L1242" s="253">
        <v>16.8</v>
      </c>
      <c r="M1242" s="9">
        <f t="shared" si="83"/>
        <v>3.29</v>
      </c>
      <c r="N1242" s="948">
        <v>0</v>
      </c>
      <c r="O1242" s="900">
        <f t="shared" si="82"/>
        <v>24</v>
      </c>
      <c r="P1242" s="901">
        <f t="shared" si="84"/>
        <v>78.959999999999994</v>
      </c>
      <c r="Q1242" s="874"/>
      <c r="R1242" s="874"/>
      <c r="S1242" s="841"/>
      <c r="T1242" s="854"/>
    </row>
    <row r="1243" spans="1:20" s="344" customFormat="1" ht="25.5">
      <c r="A1243" s="915"/>
      <c r="B1243" s="919"/>
      <c r="C1243" s="913"/>
      <c r="D1243" s="49" t="s">
        <v>381</v>
      </c>
      <c r="E1243" s="805">
        <f>'[3]Plan Tron'!B403</f>
        <v>2643</v>
      </c>
      <c r="F1243" s="805" t="str">
        <f>'[3]Plan Tron'!C403</f>
        <v>SINAPI (INSUMO)</v>
      </c>
      <c r="G1243" s="643" t="str">
        <f>'[3]Plan Tron'!D403</f>
        <v xml:space="preserve">LUVA PARA ELETRODUTO, EM ACO GALVANIZADO ELETROLITICO, DIAMETRO DE 50 MM (2") </v>
      </c>
      <c r="H1243" s="805" t="str">
        <f>'[3]Plan Tron'!E403</f>
        <v xml:space="preserve">UN </v>
      </c>
      <c r="I1243" s="36">
        <v>16</v>
      </c>
      <c r="J1243" s="253">
        <v>3.5</v>
      </c>
      <c r="K1243" s="253">
        <f>'[3]Plan Tron'!F403</f>
        <v>3.93</v>
      </c>
      <c r="L1243" s="253">
        <v>16.8</v>
      </c>
      <c r="M1243" s="9">
        <f t="shared" si="83"/>
        <v>4.59</v>
      </c>
      <c r="N1243" s="948">
        <v>0</v>
      </c>
      <c r="O1243" s="900">
        <f t="shared" si="82"/>
        <v>16</v>
      </c>
      <c r="P1243" s="901">
        <f t="shared" si="84"/>
        <v>73.44</v>
      </c>
      <c r="Q1243" s="874"/>
      <c r="R1243" s="874"/>
      <c r="S1243" s="841"/>
      <c r="T1243" s="854"/>
    </row>
    <row r="1244" spans="1:20" s="800" customFormat="1" ht="25.5">
      <c r="A1244" s="915"/>
      <c r="B1244" s="919"/>
      <c r="C1244" s="913"/>
      <c r="D1244" s="49" t="s">
        <v>378</v>
      </c>
      <c r="E1244" s="57">
        <v>2479</v>
      </c>
      <c r="F1244" s="805" t="s">
        <v>2017</v>
      </c>
      <c r="G1244" s="12" t="s">
        <v>1563</v>
      </c>
      <c r="H1244" s="18" t="s">
        <v>158</v>
      </c>
      <c r="I1244" s="36">
        <v>4</v>
      </c>
      <c r="J1244" s="253">
        <v>5.95</v>
      </c>
      <c r="K1244" s="9">
        <f t="shared" ref="K1244:K1252" si="85">J1244*$S$3</f>
        <v>7.7945000000000002</v>
      </c>
      <c r="L1244" s="253">
        <v>16.8</v>
      </c>
      <c r="M1244" s="9">
        <f t="shared" si="83"/>
        <v>9.1</v>
      </c>
      <c r="N1244" s="948">
        <v>0</v>
      </c>
      <c r="O1244" s="900">
        <f t="shared" si="82"/>
        <v>4</v>
      </c>
      <c r="P1244" s="901">
        <f t="shared" si="84"/>
        <v>36.4</v>
      </c>
      <c r="Q1244" s="875"/>
      <c r="R1244" s="875"/>
      <c r="S1244" s="844"/>
      <c r="T1244" s="857"/>
    </row>
    <row r="1245" spans="1:20" s="800" customFormat="1" ht="25.5">
      <c r="A1245" s="915"/>
      <c r="B1245" s="919"/>
      <c r="C1245" s="913"/>
      <c r="D1245" s="49" t="s">
        <v>777</v>
      </c>
      <c r="E1245" s="57">
        <v>4360</v>
      </c>
      <c r="F1245" s="805" t="s">
        <v>2017</v>
      </c>
      <c r="G1245" s="12" t="s">
        <v>1562</v>
      </c>
      <c r="H1245" s="18" t="s">
        <v>158</v>
      </c>
      <c r="I1245" s="36">
        <v>35</v>
      </c>
      <c r="J1245" s="253">
        <v>1.1399999999999999</v>
      </c>
      <c r="K1245" s="9">
        <f t="shared" si="85"/>
        <v>1.4933999999999998</v>
      </c>
      <c r="L1245" s="253">
        <v>16.8</v>
      </c>
      <c r="M1245" s="9">
        <f t="shared" si="83"/>
        <v>1.74</v>
      </c>
      <c r="N1245" s="948">
        <v>0</v>
      </c>
      <c r="O1245" s="900">
        <f t="shared" si="82"/>
        <v>35</v>
      </c>
      <c r="P1245" s="901">
        <f t="shared" si="84"/>
        <v>60.9</v>
      </c>
      <c r="Q1245" s="875"/>
      <c r="R1245" s="875"/>
      <c r="S1245" s="844"/>
      <c r="T1245" s="857"/>
    </row>
    <row r="1246" spans="1:20" s="800" customFormat="1" ht="25.5">
      <c r="A1246" s="915"/>
      <c r="B1246" s="919"/>
      <c r="C1246" s="913"/>
      <c r="D1246" s="49" t="s">
        <v>776</v>
      </c>
      <c r="E1246" s="57">
        <v>4362</v>
      </c>
      <c r="F1246" s="805" t="s">
        <v>2017</v>
      </c>
      <c r="G1246" s="12" t="s">
        <v>871</v>
      </c>
      <c r="H1246" s="18" t="s">
        <v>158</v>
      </c>
      <c r="I1246" s="36">
        <v>20</v>
      </c>
      <c r="J1246" s="253">
        <v>1.31</v>
      </c>
      <c r="K1246" s="9">
        <f t="shared" si="85"/>
        <v>1.7161000000000002</v>
      </c>
      <c r="L1246" s="253">
        <v>16.8</v>
      </c>
      <c r="M1246" s="9">
        <f t="shared" si="83"/>
        <v>2</v>
      </c>
      <c r="N1246" s="948">
        <v>0</v>
      </c>
      <c r="O1246" s="900">
        <f t="shared" si="82"/>
        <v>20</v>
      </c>
      <c r="P1246" s="901">
        <f t="shared" si="84"/>
        <v>40</v>
      </c>
      <c r="Q1246" s="875"/>
      <c r="R1246" s="875"/>
      <c r="S1246" s="844"/>
      <c r="T1246" s="857"/>
    </row>
    <row r="1247" spans="1:20" s="800" customFormat="1" ht="25.5">
      <c r="A1247" s="915"/>
      <c r="B1247" s="919"/>
      <c r="C1247" s="913"/>
      <c r="D1247" s="49" t="s">
        <v>775</v>
      </c>
      <c r="E1247" s="57">
        <v>4361</v>
      </c>
      <c r="F1247" s="805" t="s">
        <v>2017</v>
      </c>
      <c r="G1247" s="12" t="s">
        <v>1561</v>
      </c>
      <c r="H1247" s="18" t="s">
        <v>158</v>
      </c>
      <c r="I1247" s="36">
        <v>25</v>
      </c>
      <c r="J1247" s="253">
        <v>2.2200000000000002</v>
      </c>
      <c r="K1247" s="9">
        <f t="shared" si="85"/>
        <v>2.9082000000000003</v>
      </c>
      <c r="L1247" s="253">
        <v>16.8</v>
      </c>
      <c r="M1247" s="9">
        <f t="shared" si="83"/>
        <v>3.4</v>
      </c>
      <c r="N1247" s="948">
        <v>0</v>
      </c>
      <c r="O1247" s="900">
        <f t="shared" si="82"/>
        <v>25</v>
      </c>
      <c r="P1247" s="901">
        <f t="shared" si="84"/>
        <v>85</v>
      </c>
      <c r="Q1247" s="875"/>
      <c r="R1247" s="875"/>
      <c r="S1247" s="844"/>
      <c r="T1247" s="857"/>
    </row>
    <row r="1248" spans="1:20" s="800" customFormat="1" ht="25.5">
      <c r="A1248" s="915"/>
      <c r="B1248" s="919"/>
      <c r="C1248" s="913"/>
      <c r="D1248" s="49" t="s">
        <v>899</v>
      </c>
      <c r="E1248" s="57">
        <v>853</v>
      </c>
      <c r="F1248" s="805" t="s">
        <v>2017</v>
      </c>
      <c r="G1248" s="12" t="s">
        <v>1560</v>
      </c>
      <c r="H1248" s="18" t="s">
        <v>326</v>
      </c>
      <c r="I1248" s="36">
        <v>1</v>
      </c>
      <c r="J1248" s="253">
        <v>1.08</v>
      </c>
      <c r="K1248" s="9">
        <f t="shared" si="85"/>
        <v>1.4148000000000001</v>
      </c>
      <c r="L1248" s="253">
        <v>16.8</v>
      </c>
      <c r="M1248" s="9">
        <f t="shared" si="83"/>
        <v>1.65</v>
      </c>
      <c r="N1248" s="948">
        <v>0</v>
      </c>
      <c r="O1248" s="900">
        <f t="shared" si="82"/>
        <v>1</v>
      </c>
      <c r="P1248" s="901">
        <f t="shared" si="84"/>
        <v>1.65</v>
      </c>
      <c r="Q1248" s="875"/>
      <c r="R1248" s="875"/>
      <c r="S1248" s="844"/>
      <c r="T1248" s="857"/>
    </row>
    <row r="1249" spans="1:20" s="610" customFormat="1">
      <c r="A1249" s="915"/>
      <c r="B1249" s="919"/>
      <c r="C1249" s="913" t="s">
        <v>2455</v>
      </c>
      <c r="D1249" s="49" t="s">
        <v>1123</v>
      </c>
      <c r="E1249" s="57" t="s">
        <v>874</v>
      </c>
      <c r="F1249" s="50"/>
      <c r="G1249" s="12" t="s">
        <v>875</v>
      </c>
      <c r="H1249" s="18" t="s">
        <v>158</v>
      </c>
      <c r="I1249" s="36">
        <v>2</v>
      </c>
      <c r="J1249" s="253">
        <v>8.6999999999999993</v>
      </c>
      <c r="K1249" s="9">
        <f t="shared" si="85"/>
        <v>11.397</v>
      </c>
      <c r="L1249" s="253">
        <v>16.8</v>
      </c>
      <c r="M1249" s="9">
        <f t="shared" si="83"/>
        <v>13.31</v>
      </c>
      <c r="N1249" s="948">
        <v>0</v>
      </c>
      <c r="O1249" s="900">
        <f t="shared" si="82"/>
        <v>2</v>
      </c>
      <c r="P1249" s="901">
        <f t="shared" si="84"/>
        <v>26.62</v>
      </c>
      <c r="Q1249" s="873"/>
      <c r="R1249" s="873"/>
      <c r="S1249" s="840"/>
      <c r="T1249" s="853"/>
    </row>
    <row r="1250" spans="1:20" s="610" customFormat="1">
      <c r="A1250" s="915"/>
      <c r="B1250" s="919"/>
      <c r="C1250" s="913" t="s">
        <v>2455</v>
      </c>
      <c r="D1250" s="49" t="s">
        <v>1120</v>
      </c>
      <c r="E1250" s="57" t="s">
        <v>872</v>
      </c>
      <c r="F1250" s="50"/>
      <c r="G1250" s="12" t="s">
        <v>873</v>
      </c>
      <c r="H1250" s="7" t="s">
        <v>158</v>
      </c>
      <c r="I1250" s="27">
        <v>2</v>
      </c>
      <c r="J1250" s="253">
        <v>9.85</v>
      </c>
      <c r="K1250" s="9">
        <f t="shared" si="85"/>
        <v>12.903499999999999</v>
      </c>
      <c r="L1250" s="253">
        <v>16.8</v>
      </c>
      <c r="M1250" s="9">
        <f t="shared" si="83"/>
        <v>15.07</v>
      </c>
      <c r="N1250" s="948">
        <v>0</v>
      </c>
      <c r="O1250" s="900">
        <f t="shared" si="82"/>
        <v>2</v>
      </c>
      <c r="P1250" s="901">
        <f t="shared" si="84"/>
        <v>30.14</v>
      </c>
      <c r="Q1250" s="873"/>
      <c r="R1250" s="873"/>
      <c r="S1250" s="840"/>
      <c r="T1250" s="853"/>
    </row>
    <row r="1251" spans="1:20" s="610" customFormat="1">
      <c r="A1251" s="915"/>
      <c r="B1251" s="919"/>
      <c r="C1251" s="913" t="s">
        <v>2455</v>
      </c>
      <c r="D1251" s="49" t="s">
        <v>1118</v>
      </c>
      <c r="E1251" s="826" t="s">
        <v>1558</v>
      </c>
      <c r="F1251" s="23"/>
      <c r="G1251" s="12" t="s">
        <v>1559</v>
      </c>
      <c r="H1251" s="7" t="s">
        <v>158</v>
      </c>
      <c r="I1251" s="27">
        <v>4</v>
      </c>
      <c r="J1251" s="253">
        <v>17.5</v>
      </c>
      <c r="K1251" s="9">
        <f t="shared" si="85"/>
        <v>22.925000000000001</v>
      </c>
      <c r="L1251" s="253">
        <v>16.8</v>
      </c>
      <c r="M1251" s="9">
        <f t="shared" si="83"/>
        <v>26.78</v>
      </c>
      <c r="N1251" s="948">
        <v>0</v>
      </c>
      <c r="O1251" s="900">
        <f t="shared" ref="O1251:O1313" si="86">I1251-N1251</f>
        <v>4</v>
      </c>
      <c r="P1251" s="901">
        <f t="shared" si="84"/>
        <v>107.12</v>
      </c>
      <c r="Q1251" s="873"/>
      <c r="R1251" s="873"/>
      <c r="S1251" s="840"/>
      <c r="T1251" s="853"/>
    </row>
    <row r="1252" spans="1:20" s="610" customFormat="1">
      <c r="A1252" s="915"/>
      <c r="B1252" s="919"/>
      <c r="C1252" s="913" t="s">
        <v>2455</v>
      </c>
      <c r="D1252" s="49" t="s">
        <v>1115</v>
      </c>
      <c r="E1252" s="826" t="s">
        <v>1556</v>
      </c>
      <c r="F1252" s="23"/>
      <c r="G1252" s="12" t="s">
        <v>1557</v>
      </c>
      <c r="H1252" s="7" t="s">
        <v>158</v>
      </c>
      <c r="I1252" s="27">
        <v>4</v>
      </c>
      <c r="J1252" s="253">
        <v>19.75</v>
      </c>
      <c r="K1252" s="9">
        <f t="shared" si="85"/>
        <v>25.872500000000002</v>
      </c>
      <c r="L1252" s="253">
        <v>16.8</v>
      </c>
      <c r="M1252" s="9">
        <f t="shared" si="83"/>
        <v>30.22</v>
      </c>
      <c r="N1252" s="948">
        <v>0</v>
      </c>
      <c r="O1252" s="900">
        <f t="shared" si="86"/>
        <v>4</v>
      </c>
      <c r="P1252" s="901">
        <f t="shared" si="84"/>
        <v>120.88</v>
      </c>
      <c r="Q1252" s="873"/>
      <c r="R1252" s="873"/>
      <c r="S1252" s="840"/>
      <c r="T1252" s="853"/>
    </row>
    <row r="1253" spans="1:20">
      <c r="D1253" s="49"/>
      <c r="E1253" s="826"/>
      <c r="F1253" s="23"/>
      <c r="G1253" s="12"/>
      <c r="H1253" s="7"/>
      <c r="I1253" s="27"/>
      <c r="J1253" s="253"/>
      <c r="K1253" s="253"/>
      <c r="L1253" s="253"/>
      <c r="M1253" s="9"/>
      <c r="N1253" s="926"/>
      <c r="O1253" s="900"/>
      <c r="P1253" s="901"/>
      <c r="Q1253" s="874"/>
      <c r="R1253" s="874"/>
      <c r="S1253" s="841"/>
      <c r="T1253" s="854"/>
    </row>
    <row r="1254" spans="1:20">
      <c r="D1254" s="49"/>
      <c r="E1254" s="826"/>
      <c r="F1254" s="23"/>
      <c r="G1254" s="12"/>
      <c r="H1254" s="7"/>
      <c r="I1254" s="27"/>
      <c r="J1254" s="253"/>
      <c r="K1254" s="253"/>
      <c r="L1254" s="253"/>
      <c r="M1254" s="9"/>
      <c r="N1254" s="926"/>
      <c r="O1254" s="900"/>
      <c r="P1254" s="901"/>
      <c r="Q1254" s="874"/>
      <c r="R1254" s="874"/>
      <c r="S1254" s="841"/>
      <c r="T1254" s="854"/>
    </row>
    <row r="1255" spans="1:20" s="610" customFormat="1">
      <c r="A1255" s="915"/>
      <c r="B1255" s="919"/>
      <c r="C1255" s="913" t="s">
        <v>2455</v>
      </c>
      <c r="D1255" s="49" t="s">
        <v>1555</v>
      </c>
      <c r="E1255" s="826" t="s">
        <v>1553</v>
      </c>
      <c r="F1255" s="23"/>
      <c r="G1255" s="12" t="s">
        <v>1554</v>
      </c>
      <c r="H1255" s="7" t="s">
        <v>158</v>
      </c>
      <c r="I1255" s="27">
        <v>2</v>
      </c>
      <c r="J1255" s="253">
        <v>19</v>
      </c>
      <c r="K1255" s="9">
        <f>J1255*$S$3</f>
        <v>24.89</v>
      </c>
      <c r="L1255" s="253">
        <v>16.8</v>
      </c>
      <c r="M1255" s="9">
        <f t="shared" si="83"/>
        <v>29.07</v>
      </c>
      <c r="N1255" s="948">
        <v>0</v>
      </c>
      <c r="O1255" s="900">
        <f t="shared" si="86"/>
        <v>2</v>
      </c>
      <c r="P1255" s="901">
        <f t="shared" si="84"/>
        <v>58.14</v>
      </c>
      <c r="Q1255" s="873"/>
      <c r="R1255" s="873"/>
      <c r="S1255" s="840"/>
      <c r="T1255" s="853"/>
    </row>
    <row r="1256" spans="1:20" s="610" customFormat="1">
      <c r="A1256" s="915"/>
      <c r="B1256" s="919"/>
      <c r="C1256" s="913" t="s">
        <v>2455</v>
      </c>
      <c r="D1256" s="49" t="s">
        <v>1552</v>
      </c>
      <c r="E1256" s="826" t="s">
        <v>1550</v>
      </c>
      <c r="F1256" s="23"/>
      <c r="G1256" s="12" t="s">
        <v>1551</v>
      </c>
      <c r="H1256" s="7" t="s">
        <v>158</v>
      </c>
      <c r="I1256" s="27">
        <v>2</v>
      </c>
      <c r="J1256" s="253">
        <v>26.88</v>
      </c>
      <c r="K1256" s="9">
        <f>J1256*$S$3</f>
        <v>35.212800000000001</v>
      </c>
      <c r="L1256" s="253">
        <v>16.8</v>
      </c>
      <c r="M1256" s="9">
        <f t="shared" si="83"/>
        <v>41.13</v>
      </c>
      <c r="N1256" s="948">
        <v>0</v>
      </c>
      <c r="O1256" s="900">
        <f t="shared" si="86"/>
        <v>2</v>
      </c>
      <c r="P1256" s="901">
        <f t="shared" si="84"/>
        <v>82.26</v>
      </c>
      <c r="Q1256" s="873"/>
      <c r="R1256" s="873"/>
      <c r="S1256" s="840"/>
      <c r="T1256" s="853"/>
    </row>
    <row r="1257" spans="1:20" s="344" customFormat="1" ht="25.5">
      <c r="A1257" s="915"/>
      <c r="B1257" s="919"/>
      <c r="C1257" s="913"/>
      <c r="D1257" s="49" t="s">
        <v>1549</v>
      </c>
      <c r="E1257" s="805">
        <f>'[3]Plan Tron'!B404</f>
        <v>2593</v>
      </c>
      <c r="F1257" s="805" t="str">
        <f>'[3]Plan Tron'!C404</f>
        <v>SINAPI (INSUMO)</v>
      </c>
      <c r="G1257" s="643" t="str">
        <f>'[3]Plan Tron'!D404</f>
        <v>CONDULETE DE ALUMINIO TIPO LR, PARA ELETRODUTO ROSCAVEL DE 3/4", COM TAMPA CEGA</v>
      </c>
      <c r="H1257" s="805" t="str">
        <f>'[3]Plan Tron'!E404</f>
        <v xml:space="preserve">UN </v>
      </c>
      <c r="I1257" s="27">
        <v>5</v>
      </c>
      <c r="J1257" s="253">
        <v>4.93</v>
      </c>
      <c r="K1257" s="253">
        <f>'[3]Plan Tron'!F404</f>
        <v>6.01</v>
      </c>
      <c r="L1257" s="253">
        <v>16.8</v>
      </c>
      <c r="M1257" s="9">
        <f t="shared" si="83"/>
        <v>7.02</v>
      </c>
      <c r="N1257" s="948">
        <v>0</v>
      </c>
      <c r="O1257" s="900">
        <f t="shared" si="86"/>
        <v>5</v>
      </c>
      <c r="P1257" s="901">
        <f t="shared" si="84"/>
        <v>35.1</v>
      </c>
      <c r="Q1257" s="874"/>
      <c r="R1257" s="874"/>
      <c r="S1257" s="841"/>
      <c r="T1257" s="854"/>
    </row>
    <row r="1258" spans="1:20" s="610" customFormat="1">
      <c r="A1258" s="915"/>
      <c r="B1258" s="919"/>
      <c r="C1258" s="913" t="s">
        <v>2455</v>
      </c>
      <c r="D1258" s="49" t="s">
        <v>1548</v>
      </c>
      <c r="E1258" s="826" t="s">
        <v>1121</v>
      </c>
      <c r="F1258" s="23"/>
      <c r="G1258" s="114" t="s">
        <v>1122</v>
      </c>
      <c r="H1258" s="7" t="s">
        <v>158</v>
      </c>
      <c r="I1258" s="27">
        <v>2</v>
      </c>
      <c r="J1258" s="253">
        <v>22.53</v>
      </c>
      <c r="K1258" s="9">
        <f>J1258*$S$3</f>
        <v>29.514300000000002</v>
      </c>
      <c r="L1258" s="253">
        <v>16.8</v>
      </c>
      <c r="M1258" s="9">
        <f t="shared" si="83"/>
        <v>34.47</v>
      </c>
      <c r="N1258" s="948">
        <v>0</v>
      </c>
      <c r="O1258" s="900">
        <f t="shared" si="86"/>
        <v>2</v>
      </c>
      <c r="P1258" s="901">
        <f t="shared" si="84"/>
        <v>68.94</v>
      </c>
      <c r="Q1258" s="873"/>
      <c r="R1258" s="873"/>
      <c r="S1258" s="840"/>
      <c r="T1258" s="853"/>
    </row>
    <row r="1259" spans="1:20" s="344" customFormat="1" ht="25.5">
      <c r="A1259" s="915"/>
      <c r="B1259" s="919"/>
      <c r="C1259" s="913"/>
      <c r="D1259" s="49" t="s">
        <v>1547</v>
      </c>
      <c r="E1259" s="805">
        <f>'[3]Plan Tron'!B405</f>
        <v>2570</v>
      </c>
      <c r="F1259" s="805" t="str">
        <f>'[3]Plan Tron'!C405</f>
        <v>SINAPI (INSUMO)</v>
      </c>
      <c r="G1259" s="643" t="str">
        <f>'[3]Plan Tron'!D405</f>
        <v xml:space="preserve">CONDULETE DE ALUMINIO TIPO LR, PARA ELETRODUTO ROSCAVEL DE 1", COM TAMPA CEGA </v>
      </c>
      <c r="H1259" s="805" t="str">
        <f>'[3]Plan Tron'!E405</f>
        <v xml:space="preserve">UN </v>
      </c>
      <c r="I1259" s="27">
        <v>4</v>
      </c>
      <c r="J1259" s="253">
        <v>7.64</v>
      </c>
      <c r="K1259" s="253">
        <f>'[3]Plan Tron'!F405</f>
        <v>9.4600000000000009</v>
      </c>
      <c r="L1259" s="253">
        <v>16.8</v>
      </c>
      <c r="M1259" s="9">
        <f t="shared" si="83"/>
        <v>11.05</v>
      </c>
      <c r="N1259" s="948">
        <v>0</v>
      </c>
      <c r="O1259" s="900">
        <f t="shared" si="86"/>
        <v>4</v>
      </c>
      <c r="P1259" s="901">
        <f t="shared" si="84"/>
        <v>44.2</v>
      </c>
      <c r="Q1259" s="874"/>
      <c r="R1259" s="874"/>
      <c r="S1259" s="841"/>
      <c r="T1259" s="854"/>
    </row>
    <row r="1260" spans="1:20" s="610" customFormat="1">
      <c r="A1260" s="915"/>
      <c r="B1260" s="919"/>
      <c r="C1260" s="913" t="s">
        <v>2455</v>
      </c>
      <c r="D1260" s="49" t="s">
        <v>1546</v>
      </c>
      <c r="E1260" s="57" t="s">
        <v>1544</v>
      </c>
      <c r="F1260" s="50"/>
      <c r="G1260" s="114" t="s">
        <v>1545</v>
      </c>
      <c r="H1260" s="7" t="s">
        <v>158</v>
      </c>
      <c r="I1260" s="27">
        <v>3</v>
      </c>
      <c r="J1260" s="253">
        <v>19.559999999999999</v>
      </c>
      <c r="K1260" s="9">
        <f>J1260*$S$3</f>
        <v>25.6236</v>
      </c>
      <c r="L1260" s="253">
        <v>16.8</v>
      </c>
      <c r="M1260" s="9">
        <f t="shared" si="83"/>
        <v>29.93</v>
      </c>
      <c r="N1260" s="948">
        <v>0</v>
      </c>
      <c r="O1260" s="900">
        <f t="shared" si="86"/>
        <v>3</v>
      </c>
      <c r="P1260" s="901">
        <f t="shared" si="84"/>
        <v>89.79</v>
      </c>
      <c r="Q1260" s="873"/>
      <c r="R1260" s="873"/>
      <c r="S1260" s="840"/>
      <c r="T1260" s="853"/>
    </row>
    <row r="1261" spans="1:20" s="344" customFormat="1" ht="25.5">
      <c r="A1261" s="915"/>
      <c r="B1261" s="919"/>
      <c r="C1261" s="913"/>
      <c r="D1261" s="49" t="s">
        <v>1543</v>
      </c>
      <c r="E1261" s="805">
        <f>'[3]Plan Tron'!B406</f>
        <v>2587</v>
      </c>
      <c r="F1261" s="805" t="str">
        <f>'[3]Plan Tron'!C406</f>
        <v>SINAPI (INSUMO)</v>
      </c>
      <c r="G1261" s="643" t="str">
        <f>'[3]Plan Tron'!D406</f>
        <v>CONDULETE DE ALUMINIO TIPO LR, PARA ELETRODUTO ROSCAVEL DE 1 1/2", COM TAMPA CEGA</v>
      </c>
      <c r="H1261" s="805" t="str">
        <f>'[3]Plan Tron'!E406</f>
        <v xml:space="preserve">UN </v>
      </c>
      <c r="I1261" s="27">
        <v>1</v>
      </c>
      <c r="J1261" s="253">
        <v>19.559999999999999</v>
      </c>
      <c r="K1261" s="253">
        <f>'[3]Plan Tron'!F406</f>
        <v>18.43</v>
      </c>
      <c r="L1261" s="253">
        <v>16.8</v>
      </c>
      <c r="M1261" s="9">
        <f t="shared" si="83"/>
        <v>21.53</v>
      </c>
      <c r="N1261" s="948">
        <v>0</v>
      </c>
      <c r="O1261" s="900">
        <f t="shared" si="86"/>
        <v>1</v>
      </c>
      <c r="P1261" s="901">
        <f t="shared" si="84"/>
        <v>21.53</v>
      </c>
      <c r="Q1261" s="874"/>
      <c r="R1261" s="874"/>
      <c r="S1261" s="841"/>
      <c r="T1261" s="854"/>
    </row>
    <row r="1262" spans="1:20" s="344" customFormat="1" ht="25.5">
      <c r="A1262" s="915"/>
      <c r="B1262" s="919"/>
      <c r="C1262" s="913"/>
      <c r="D1262" s="49" t="s">
        <v>1542</v>
      </c>
      <c r="E1262" s="805">
        <f>'[3]Plan Tron'!B407</f>
        <v>2576</v>
      </c>
      <c r="F1262" s="805" t="str">
        <f>'[3]Plan Tron'!C407</f>
        <v>SINAPI (INSUMO)</v>
      </c>
      <c r="G1262" s="643" t="str">
        <f>'[3]Plan Tron'!D407</f>
        <v>CONDULETE DE ALUMINIO TIPO T, PARA ELETRODUTO ROSCAVEL DE 1 1/2", COM TAMPA CEGA</v>
      </c>
      <c r="H1262" s="805" t="str">
        <f>'[3]Plan Tron'!E407</f>
        <v xml:space="preserve">UN </v>
      </c>
      <c r="I1262" s="27">
        <v>3</v>
      </c>
      <c r="J1262" s="253">
        <v>21.12</v>
      </c>
      <c r="K1262" s="253">
        <f>'[3]Plan Tron'!F407</f>
        <v>22.09</v>
      </c>
      <c r="L1262" s="253">
        <v>16.8</v>
      </c>
      <c r="M1262" s="9">
        <f t="shared" si="83"/>
        <v>25.8</v>
      </c>
      <c r="N1262" s="948">
        <v>0</v>
      </c>
      <c r="O1262" s="900">
        <f t="shared" si="86"/>
        <v>3</v>
      </c>
      <c r="P1262" s="901">
        <f t="shared" si="84"/>
        <v>77.400000000000006</v>
      </c>
      <c r="Q1262" s="874"/>
      <c r="R1262" s="874"/>
      <c r="S1262" s="841"/>
      <c r="T1262" s="854"/>
    </row>
    <row r="1263" spans="1:20" s="610" customFormat="1">
      <c r="A1263" s="915"/>
      <c r="B1263" s="919"/>
      <c r="C1263" s="913" t="s">
        <v>2455</v>
      </c>
      <c r="D1263" s="49" t="s">
        <v>1541</v>
      </c>
      <c r="E1263" s="57" t="s">
        <v>1539</v>
      </c>
      <c r="F1263" s="50"/>
      <c r="G1263" s="114" t="s">
        <v>1540</v>
      </c>
      <c r="H1263" s="7" t="s">
        <v>158</v>
      </c>
      <c r="I1263" s="27">
        <v>4</v>
      </c>
      <c r="J1263" s="253">
        <v>27.78</v>
      </c>
      <c r="K1263" s="9">
        <f>J1263*$S$3</f>
        <v>36.391800000000003</v>
      </c>
      <c r="L1263" s="253">
        <v>16.8</v>
      </c>
      <c r="M1263" s="9">
        <f t="shared" si="83"/>
        <v>42.51</v>
      </c>
      <c r="N1263" s="948">
        <v>0</v>
      </c>
      <c r="O1263" s="900">
        <f t="shared" si="86"/>
        <v>4</v>
      </c>
      <c r="P1263" s="901">
        <f t="shared" si="84"/>
        <v>170.04</v>
      </c>
      <c r="Q1263" s="873"/>
      <c r="R1263" s="873"/>
      <c r="S1263" s="840"/>
      <c r="T1263" s="853"/>
    </row>
    <row r="1264" spans="1:20" s="610" customFormat="1">
      <c r="A1264" s="915"/>
      <c r="B1264" s="919"/>
      <c r="C1264" s="913" t="s">
        <v>2455</v>
      </c>
      <c r="D1264" s="49" t="s">
        <v>1538</v>
      </c>
      <c r="E1264" s="57" t="s">
        <v>1536</v>
      </c>
      <c r="F1264" s="50"/>
      <c r="G1264" s="114" t="s">
        <v>1537</v>
      </c>
      <c r="H1264" s="7" t="s">
        <v>158</v>
      </c>
      <c r="I1264" s="27">
        <v>2</v>
      </c>
      <c r="J1264" s="253">
        <v>27.78</v>
      </c>
      <c r="K1264" s="9">
        <f>J1264*$S$3</f>
        <v>36.391800000000003</v>
      </c>
      <c r="L1264" s="253">
        <v>16.8</v>
      </c>
      <c r="M1264" s="9">
        <f t="shared" si="83"/>
        <v>42.51</v>
      </c>
      <c r="N1264" s="948">
        <v>0</v>
      </c>
      <c r="O1264" s="900">
        <f t="shared" si="86"/>
        <v>2</v>
      </c>
      <c r="P1264" s="901">
        <f t="shared" si="84"/>
        <v>85.02</v>
      </c>
      <c r="Q1264" s="873"/>
      <c r="R1264" s="873"/>
      <c r="S1264" s="840"/>
      <c r="T1264" s="853"/>
    </row>
    <row r="1265" spans="1:20" s="344" customFormat="1" ht="25.5">
      <c r="A1265" s="915"/>
      <c r="B1265" s="919"/>
      <c r="C1265" s="913"/>
      <c r="D1265" s="49" t="s">
        <v>1535</v>
      </c>
      <c r="E1265" s="805">
        <f>'[3]Plan Tron'!B408</f>
        <v>2617</v>
      </c>
      <c r="F1265" s="805" t="str">
        <f>'[3]Plan Tron'!C408</f>
        <v>SINAPI (INSUMO)</v>
      </c>
      <c r="G1265" s="643" t="str">
        <f>'[3]Plan Tron'!D408</f>
        <v>CURVA 90 GRAUS, PARA ELETRODUTO, EM ACO GALVANIZADO ELETROLITICO, DIAMETRO DE 25 MM (1")</v>
      </c>
      <c r="H1265" s="805" t="str">
        <f>'[3]Plan Tron'!E408</f>
        <v xml:space="preserve">UN </v>
      </c>
      <c r="I1265" s="27">
        <v>2</v>
      </c>
      <c r="J1265" s="253">
        <v>3.22</v>
      </c>
      <c r="K1265" s="253">
        <f>'[3]Plan Tron'!F408</f>
        <v>3.4</v>
      </c>
      <c r="L1265" s="253">
        <v>16.8</v>
      </c>
      <c r="M1265" s="9">
        <f t="shared" si="83"/>
        <v>3.97</v>
      </c>
      <c r="N1265" s="948">
        <v>0</v>
      </c>
      <c r="O1265" s="900">
        <f t="shared" si="86"/>
        <v>2</v>
      </c>
      <c r="P1265" s="901">
        <f t="shared" si="84"/>
        <v>7.94</v>
      </c>
      <c r="Q1265" s="874"/>
      <c r="R1265" s="874"/>
      <c r="S1265" s="841"/>
      <c r="T1265" s="854"/>
    </row>
    <row r="1266" spans="1:20" s="344" customFormat="1" ht="25.5">
      <c r="A1266" s="915"/>
      <c r="B1266" s="919"/>
      <c r="C1266" s="913"/>
      <c r="D1266" s="49" t="s">
        <v>1534</v>
      </c>
      <c r="E1266" s="805">
        <f>'[3]Plan Tron'!B409</f>
        <v>2632</v>
      </c>
      <c r="F1266" s="805" t="str">
        <f>'[3]Plan Tron'!C409</f>
        <v>SINAPI (INSUMO)</v>
      </c>
      <c r="G1266" s="643" t="str">
        <f>'[3]Plan Tron'!D409</f>
        <v>CURVA 90 GRAUS, PARA ELETRODUTO, EM ACO GALVANIZADO ELETROLITICO, DIAMETRO DE 40 MM (1 1/2")</v>
      </c>
      <c r="H1266" s="805" t="str">
        <f>'[3]Plan Tron'!E409</f>
        <v xml:space="preserve">UN </v>
      </c>
      <c r="I1266" s="27">
        <v>2</v>
      </c>
      <c r="J1266" s="253">
        <v>9.91</v>
      </c>
      <c r="K1266" s="253">
        <f>'[3]Plan Tron'!F409</f>
        <v>9.4600000000000009</v>
      </c>
      <c r="L1266" s="253">
        <v>16.8</v>
      </c>
      <c r="M1266" s="9">
        <f t="shared" si="83"/>
        <v>11.05</v>
      </c>
      <c r="N1266" s="948">
        <v>0</v>
      </c>
      <c r="O1266" s="900">
        <f t="shared" si="86"/>
        <v>2</v>
      </c>
      <c r="P1266" s="901">
        <f t="shared" si="84"/>
        <v>22.1</v>
      </c>
      <c r="Q1266" s="874"/>
      <c r="R1266" s="874"/>
      <c r="S1266" s="841"/>
      <c r="T1266" s="854"/>
    </row>
    <row r="1267" spans="1:20" s="344" customFormat="1" ht="25.5">
      <c r="A1267" s="915"/>
      <c r="B1267" s="919"/>
      <c r="C1267" s="913"/>
      <c r="D1267" s="49" t="s">
        <v>1533</v>
      </c>
      <c r="E1267" s="805">
        <f>'[3]Plan Tron'!B410</f>
        <v>2631</v>
      </c>
      <c r="F1267" s="805" t="str">
        <f>'[3]Plan Tron'!C410</f>
        <v>SINAPI (INSUMO)</v>
      </c>
      <c r="G1267" s="643" t="str">
        <f>'[3]Plan Tron'!D410</f>
        <v>CURVA 90 GRAUS, PARA ELETRODUTO, EM ACO GALVANIZADO ELETROLITICO, DIAMETRO DE 50 MM (2")</v>
      </c>
      <c r="H1267" s="805" t="str">
        <f>'[3]Plan Tron'!E410</f>
        <v xml:space="preserve">UN </v>
      </c>
      <c r="I1267" s="27">
        <v>2</v>
      </c>
      <c r="J1267" s="253">
        <v>15.67</v>
      </c>
      <c r="K1267" s="253">
        <f>'[3]Plan Tron'!F410</f>
        <v>13.89</v>
      </c>
      <c r="L1267" s="253">
        <v>16.8</v>
      </c>
      <c r="M1267" s="9">
        <f t="shared" si="83"/>
        <v>16.22</v>
      </c>
      <c r="N1267" s="948">
        <v>0</v>
      </c>
      <c r="O1267" s="900">
        <f t="shared" si="86"/>
        <v>2</v>
      </c>
      <c r="P1267" s="901">
        <f t="shared" si="84"/>
        <v>32.44</v>
      </c>
      <c r="Q1267" s="874"/>
      <c r="R1267" s="874"/>
      <c r="S1267" s="841"/>
      <c r="T1267" s="854"/>
    </row>
    <row r="1268" spans="1:20" s="344" customFormat="1" ht="25.5">
      <c r="A1268" s="915"/>
      <c r="B1268" s="919"/>
      <c r="C1268" s="913"/>
      <c r="D1268" s="49" t="s">
        <v>1532</v>
      </c>
      <c r="E1268" s="805">
        <f>'[3]Plan Tron'!B411</f>
        <v>2621</v>
      </c>
      <c r="F1268" s="805" t="str">
        <f>'[3]Plan Tron'!C411</f>
        <v>SINAPI (INSUMO)</v>
      </c>
      <c r="G1268" s="643" t="str">
        <f>'[3]Plan Tron'!D411</f>
        <v>CURVA 90 GRAUS, PARA ELETRODUTO, EM ACO GALVANIZADO ELETROLITICO, DIAMETRO DE 100 MM (4")</v>
      </c>
      <c r="H1268" s="805" t="str">
        <f>'[3]Plan Tron'!E411</f>
        <v xml:space="preserve">UN </v>
      </c>
      <c r="I1268" s="27">
        <v>2</v>
      </c>
      <c r="J1268" s="253">
        <v>81.69</v>
      </c>
      <c r="K1268" s="253">
        <f>'[3]Plan Tron'!F411</f>
        <v>78.3</v>
      </c>
      <c r="L1268" s="253">
        <v>16.8</v>
      </c>
      <c r="M1268" s="9">
        <f t="shared" si="83"/>
        <v>91.45</v>
      </c>
      <c r="N1268" s="948">
        <v>0</v>
      </c>
      <c r="O1268" s="900">
        <f t="shared" si="86"/>
        <v>2</v>
      </c>
      <c r="P1268" s="901">
        <f t="shared" si="84"/>
        <v>182.9</v>
      </c>
      <c r="Q1268" s="874"/>
      <c r="R1268" s="874"/>
      <c r="S1268" s="841"/>
      <c r="T1268" s="854"/>
    </row>
    <row r="1269" spans="1:20">
      <c r="D1269" s="49" t="s">
        <v>17</v>
      </c>
      <c r="E1269" s="57"/>
      <c r="F1269" s="50"/>
      <c r="G1269" s="12" t="s">
        <v>440</v>
      </c>
      <c r="H1269" s="18"/>
      <c r="I1269" s="36"/>
      <c r="J1269" s="253"/>
      <c r="K1269" s="253"/>
      <c r="L1269" s="253"/>
      <c r="M1269" s="9"/>
      <c r="N1269" s="948"/>
      <c r="O1269" s="900"/>
      <c r="P1269" s="901"/>
      <c r="Q1269" s="874"/>
      <c r="R1269" s="874"/>
      <c r="S1269" s="841"/>
      <c r="T1269" s="854"/>
    </row>
    <row r="1270" spans="1:20" s="610" customFormat="1" ht="38.25">
      <c r="A1270" s="915"/>
      <c r="B1270" s="919"/>
      <c r="C1270" s="913" t="s">
        <v>2455</v>
      </c>
      <c r="D1270" s="49" t="s">
        <v>195</v>
      </c>
      <c r="E1270" s="57" t="s">
        <v>1103</v>
      </c>
      <c r="F1270" s="50"/>
      <c r="G1270" s="12" t="s">
        <v>1104</v>
      </c>
      <c r="H1270" s="18" t="s">
        <v>183</v>
      </c>
      <c r="I1270" s="36">
        <v>9</v>
      </c>
      <c r="J1270" s="253">
        <v>208.43</v>
      </c>
      <c r="K1270" s="9">
        <f>J1270*$S$3</f>
        <v>273.04330000000004</v>
      </c>
      <c r="L1270" s="253">
        <v>16.8</v>
      </c>
      <c r="M1270" s="9">
        <f t="shared" si="83"/>
        <v>318.91000000000003</v>
      </c>
      <c r="N1270" s="948">
        <v>0</v>
      </c>
      <c r="O1270" s="900">
        <f t="shared" si="86"/>
        <v>9</v>
      </c>
      <c r="P1270" s="901">
        <f t="shared" si="84"/>
        <v>2870.19</v>
      </c>
      <c r="Q1270" s="873"/>
      <c r="R1270" s="873"/>
      <c r="S1270" s="840"/>
      <c r="T1270" s="853"/>
    </row>
    <row r="1271" spans="1:20">
      <c r="D1271" s="49" t="s">
        <v>16</v>
      </c>
      <c r="E1271" s="57"/>
      <c r="F1271" s="50"/>
      <c r="G1271" s="12" t="s">
        <v>1065</v>
      </c>
      <c r="H1271" s="18"/>
      <c r="I1271" s="36"/>
      <c r="J1271" s="253"/>
      <c r="K1271" s="253"/>
      <c r="L1271" s="253"/>
      <c r="M1271" s="9"/>
      <c r="N1271" s="948"/>
      <c r="O1271" s="900"/>
      <c r="P1271" s="901"/>
      <c r="Q1271" s="874"/>
      <c r="R1271" s="874"/>
      <c r="S1271" s="841"/>
      <c r="T1271" s="854"/>
    </row>
    <row r="1272" spans="1:20" s="610" customFormat="1">
      <c r="A1272" s="915"/>
      <c r="B1272" s="919"/>
      <c r="C1272" s="913" t="s">
        <v>2455</v>
      </c>
      <c r="D1272" s="49" t="s">
        <v>270</v>
      </c>
      <c r="E1272" s="57" t="s">
        <v>1063</v>
      </c>
      <c r="F1272" s="50"/>
      <c r="G1272" s="12" t="s">
        <v>1064</v>
      </c>
      <c r="H1272" s="18" t="s">
        <v>110</v>
      </c>
      <c r="I1272" s="36">
        <v>100</v>
      </c>
      <c r="J1272" s="253">
        <v>6.2</v>
      </c>
      <c r="K1272" s="9">
        <f>J1272*$S$3</f>
        <v>8.1219999999999999</v>
      </c>
      <c r="L1272" s="253">
        <v>16.8</v>
      </c>
      <c r="M1272" s="9">
        <f t="shared" si="83"/>
        <v>9.49</v>
      </c>
      <c r="N1272" s="948">
        <v>0</v>
      </c>
      <c r="O1272" s="900">
        <f t="shared" si="86"/>
        <v>100</v>
      </c>
      <c r="P1272" s="901">
        <f t="shared" si="84"/>
        <v>949</v>
      </c>
      <c r="Q1272" s="873"/>
      <c r="R1272" s="873"/>
      <c r="S1272" s="840"/>
      <c r="T1272" s="853"/>
    </row>
    <row r="1273" spans="1:20" s="344" customFormat="1" ht="25.5">
      <c r="A1273" s="915"/>
      <c r="B1273" s="919"/>
      <c r="C1273" s="913"/>
      <c r="D1273" s="49" t="s">
        <v>369</v>
      </c>
      <c r="E1273" s="805">
        <f>'[3]Plan Tron'!B412</f>
        <v>7572</v>
      </c>
      <c r="F1273" s="805" t="str">
        <f>'[3]Plan Tron'!C412</f>
        <v>SINAPI (INSUMO)</v>
      </c>
      <c r="G1273" s="643" t="str">
        <f>'[3]Plan Tron'!D412</f>
        <v>SUPORTE ISOLADOR REFORCADO DIAMETRO NOMINAL 5/16", COM ROSCA SOBERBA E BUCHA</v>
      </c>
      <c r="H1273" s="805" t="str">
        <f>'[3]Plan Tron'!E412</f>
        <v xml:space="preserve">UN </v>
      </c>
      <c r="I1273" s="27">
        <v>32</v>
      </c>
      <c r="J1273" s="253">
        <v>5.18</v>
      </c>
      <c r="K1273" s="253">
        <f>'[3]Plan Tron'!F412</f>
        <v>5.37</v>
      </c>
      <c r="L1273" s="253">
        <v>16.8</v>
      </c>
      <c r="M1273" s="9">
        <f t="shared" si="83"/>
        <v>6.27</v>
      </c>
      <c r="N1273" s="948">
        <v>0</v>
      </c>
      <c r="O1273" s="900">
        <f t="shared" si="86"/>
        <v>32</v>
      </c>
      <c r="P1273" s="901">
        <f t="shared" si="84"/>
        <v>200.64</v>
      </c>
      <c r="Q1273" s="874"/>
      <c r="R1273" s="874"/>
      <c r="S1273" s="841"/>
      <c r="T1273" s="854"/>
    </row>
    <row r="1274" spans="1:20" s="344" customFormat="1" ht="25.5">
      <c r="A1274" s="915"/>
      <c r="B1274" s="919"/>
      <c r="C1274" s="913"/>
      <c r="D1274" s="49" t="s">
        <v>367</v>
      </c>
      <c r="E1274" s="805">
        <f>'[3]Plan Tron'!B413</f>
        <v>3396</v>
      </c>
      <c r="F1274" s="805" t="str">
        <f>'[3]Plan Tron'!C413</f>
        <v>SINAPI (INSUMO)</v>
      </c>
      <c r="G1274" s="643" t="str">
        <f>'[3]Plan Tron'!D413</f>
        <v xml:space="preserve">SUPORTE ISOLADOR SIMPLES DIAMETRO NOMINAL 5/16", COM ROSCA SOBERBA E BUCHA </v>
      </c>
      <c r="H1274" s="805" t="str">
        <f>'[3]Plan Tron'!E413</f>
        <v xml:space="preserve">UN </v>
      </c>
      <c r="I1274" s="27">
        <v>45</v>
      </c>
      <c r="J1274" s="253">
        <v>2.19</v>
      </c>
      <c r="K1274" s="253">
        <f>'[3]Plan Tron'!F413</f>
        <v>3.8</v>
      </c>
      <c r="L1274" s="253">
        <v>16.8</v>
      </c>
      <c r="M1274" s="9">
        <f t="shared" si="83"/>
        <v>4.4400000000000004</v>
      </c>
      <c r="N1274" s="948">
        <v>0</v>
      </c>
      <c r="O1274" s="900">
        <f t="shared" si="86"/>
        <v>45</v>
      </c>
      <c r="P1274" s="901">
        <f t="shared" si="84"/>
        <v>199.8</v>
      </c>
      <c r="Q1274" s="874"/>
      <c r="R1274" s="874"/>
      <c r="S1274" s="841"/>
      <c r="T1274" s="854"/>
    </row>
    <row r="1275" spans="1:20" s="344" customFormat="1" ht="25.5">
      <c r="A1275" s="915"/>
      <c r="B1275" s="919"/>
      <c r="C1275" s="913"/>
      <c r="D1275" s="49" t="s">
        <v>365</v>
      </c>
      <c r="E1275" s="805">
        <f>'[3]Plan Tron'!B414</f>
        <v>11864</v>
      </c>
      <c r="F1275" s="805" t="str">
        <f>'[3]Plan Tron'!C414</f>
        <v>SINAPI (INSUMO)</v>
      </c>
      <c r="G1275" s="643" t="str">
        <f>'[3]Plan Tron'!D414</f>
        <v xml:space="preserve">CONECTOR METALICO TIPO PARAFUSO FENDIDO (SPLIT BOLT), PARA CABOS ATE 95 MM2 </v>
      </c>
      <c r="H1275" s="805" t="str">
        <f>'[3]Plan Tron'!E414</f>
        <v xml:space="preserve">UN </v>
      </c>
      <c r="I1275" s="27">
        <v>30</v>
      </c>
      <c r="J1275" s="253">
        <v>9.8699999999999992</v>
      </c>
      <c r="K1275" s="253">
        <f>'[3]Plan Tron'!F414</f>
        <v>12.31</v>
      </c>
      <c r="L1275" s="253">
        <v>16.8</v>
      </c>
      <c r="M1275" s="9">
        <f t="shared" si="83"/>
        <v>14.38</v>
      </c>
      <c r="N1275" s="948">
        <v>0</v>
      </c>
      <c r="O1275" s="900">
        <f t="shared" si="86"/>
        <v>30</v>
      </c>
      <c r="P1275" s="901">
        <f t="shared" si="84"/>
        <v>431.4</v>
      </c>
      <c r="Q1275" s="874"/>
      <c r="R1275" s="874"/>
      <c r="S1275" s="841"/>
      <c r="T1275" s="854"/>
    </row>
    <row r="1276" spans="1:20" s="610" customFormat="1">
      <c r="A1276" s="915"/>
      <c r="B1276" s="919"/>
      <c r="C1276" s="913" t="s">
        <v>2455</v>
      </c>
      <c r="D1276" s="49" t="s">
        <v>1045</v>
      </c>
      <c r="E1276" s="57" t="s">
        <v>268</v>
      </c>
      <c r="F1276" s="50"/>
      <c r="G1276" s="12" t="s">
        <v>1062</v>
      </c>
      <c r="H1276" s="7" t="s">
        <v>158</v>
      </c>
      <c r="I1276" s="27">
        <v>2</v>
      </c>
      <c r="J1276" s="253">
        <v>29.48</v>
      </c>
      <c r="K1276" s="9">
        <f t="shared" ref="K1276:K1281" si="87">J1276*$S$3</f>
        <v>38.6188</v>
      </c>
      <c r="L1276" s="253">
        <v>16.8</v>
      </c>
      <c r="M1276" s="9">
        <f t="shared" si="83"/>
        <v>45.11</v>
      </c>
      <c r="N1276" s="948">
        <v>0</v>
      </c>
      <c r="O1276" s="900">
        <f t="shared" si="86"/>
        <v>2</v>
      </c>
      <c r="P1276" s="901">
        <f t="shared" si="84"/>
        <v>90.22</v>
      </c>
      <c r="Q1276" s="873"/>
      <c r="R1276" s="873"/>
      <c r="S1276" s="840"/>
      <c r="T1276" s="853"/>
    </row>
    <row r="1277" spans="1:20" s="610" customFormat="1" ht="25.5">
      <c r="A1277" s="915"/>
      <c r="B1277" s="919"/>
      <c r="C1277" s="913" t="s">
        <v>2455</v>
      </c>
      <c r="D1277" s="49" t="s">
        <v>1043</v>
      </c>
      <c r="E1277" s="57" t="s">
        <v>193</v>
      </c>
      <c r="F1277" s="50"/>
      <c r="G1277" s="12" t="s">
        <v>194</v>
      </c>
      <c r="H1277" s="18" t="s">
        <v>158</v>
      </c>
      <c r="I1277" s="27">
        <v>1</v>
      </c>
      <c r="J1277" s="253">
        <v>180</v>
      </c>
      <c r="K1277" s="9">
        <f t="shared" si="87"/>
        <v>235.8</v>
      </c>
      <c r="L1277" s="253">
        <v>16.8</v>
      </c>
      <c r="M1277" s="9">
        <f t="shared" si="83"/>
        <v>275.41000000000003</v>
      </c>
      <c r="N1277" s="948">
        <v>0</v>
      </c>
      <c r="O1277" s="900">
        <f t="shared" si="86"/>
        <v>1</v>
      </c>
      <c r="P1277" s="901">
        <f t="shared" si="84"/>
        <v>275.41000000000003</v>
      </c>
      <c r="Q1277" s="873"/>
      <c r="R1277" s="873"/>
      <c r="S1277" s="840"/>
      <c r="T1277" s="853"/>
    </row>
    <row r="1278" spans="1:20" s="610" customFormat="1">
      <c r="A1278" s="915"/>
      <c r="B1278" s="919"/>
      <c r="C1278" s="913" t="s">
        <v>2455</v>
      </c>
      <c r="D1278" s="49" t="s">
        <v>1090</v>
      </c>
      <c r="E1278" s="57" t="s">
        <v>190</v>
      </c>
      <c r="F1278" s="50"/>
      <c r="G1278" s="12" t="s">
        <v>191</v>
      </c>
      <c r="H1278" s="18" t="s">
        <v>158</v>
      </c>
      <c r="I1278" s="27">
        <v>16</v>
      </c>
      <c r="J1278" s="253">
        <v>17.5</v>
      </c>
      <c r="K1278" s="9">
        <f t="shared" si="87"/>
        <v>22.925000000000001</v>
      </c>
      <c r="L1278" s="253">
        <v>16.8</v>
      </c>
      <c r="M1278" s="9">
        <f t="shared" si="83"/>
        <v>26.78</v>
      </c>
      <c r="N1278" s="948">
        <v>0</v>
      </c>
      <c r="O1278" s="900">
        <f t="shared" si="86"/>
        <v>16</v>
      </c>
      <c r="P1278" s="901">
        <f t="shared" si="84"/>
        <v>428.48</v>
      </c>
      <c r="Q1278" s="873"/>
      <c r="R1278" s="873"/>
      <c r="S1278" s="840"/>
      <c r="T1278" s="853"/>
    </row>
    <row r="1279" spans="1:20" s="610" customFormat="1">
      <c r="A1279" s="915"/>
      <c r="B1279" s="919"/>
      <c r="C1279" s="913" t="s">
        <v>2455</v>
      </c>
      <c r="D1279" s="49" t="s">
        <v>1087</v>
      </c>
      <c r="E1279" s="826" t="s">
        <v>1060</v>
      </c>
      <c r="F1279" s="23"/>
      <c r="G1279" s="12" t="s">
        <v>1061</v>
      </c>
      <c r="H1279" s="18" t="s">
        <v>158</v>
      </c>
      <c r="I1279" s="27">
        <v>2</v>
      </c>
      <c r="J1279" s="253">
        <v>24.82</v>
      </c>
      <c r="K1279" s="9">
        <f t="shared" si="87"/>
        <v>32.514200000000002</v>
      </c>
      <c r="L1279" s="253">
        <v>16.8</v>
      </c>
      <c r="M1279" s="9">
        <f t="shared" si="83"/>
        <v>37.979999999999997</v>
      </c>
      <c r="N1279" s="948">
        <v>0</v>
      </c>
      <c r="O1279" s="900">
        <f t="shared" si="86"/>
        <v>2</v>
      </c>
      <c r="P1279" s="901">
        <f t="shared" si="84"/>
        <v>75.959999999999994</v>
      </c>
      <c r="Q1279" s="873"/>
      <c r="R1279" s="873"/>
      <c r="S1279" s="840"/>
      <c r="T1279" s="853"/>
    </row>
    <row r="1280" spans="1:20" s="610" customFormat="1">
      <c r="A1280" s="915"/>
      <c r="B1280" s="919"/>
      <c r="C1280" s="913" t="s">
        <v>2455</v>
      </c>
      <c r="D1280" s="49" t="s">
        <v>1084</v>
      </c>
      <c r="E1280" s="826" t="s">
        <v>1058</v>
      </c>
      <c r="F1280" s="23"/>
      <c r="G1280" s="12" t="s">
        <v>1059</v>
      </c>
      <c r="H1280" s="18" t="s">
        <v>158</v>
      </c>
      <c r="I1280" s="27">
        <v>4</v>
      </c>
      <c r="J1280" s="253">
        <v>10.6</v>
      </c>
      <c r="K1280" s="9">
        <f t="shared" si="87"/>
        <v>13.885999999999999</v>
      </c>
      <c r="L1280" s="253">
        <v>16.8</v>
      </c>
      <c r="M1280" s="9">
        <f t="shared" si="83"/>
        <v>16.22</v>
      </c>
      <c r="N1280" s="948">
        <v>0</v>
      </c>
      <c r="O1280" s="900">
        <f t="shared" si="86"/>
        <v>4</v>
      </c>
      <c r="P1280" s="901">
        <f t="shared" si="84"/>
        <v>64.88</v>
      </c>
      <c r="Q1280" s="873"/>
      <c r="R1280" s="873"/>
      <c r="S1280" s="840"/>
      <c r="T1280" s="853"/>
    </row>
    <row r="1281" spans="1:20" s="610" customFormat="1">
      <c r="A1281" s="915"/>
      <c r="B1281" s="919"/>
      <c r="C1281" s="913" t="s">
        <v>2455</v>
      </c>
      <c r="D1281" s="49" t="s">
        <v>1168</v>
      </c>
      <c r="E1281" s="826" t="s">
        <v>1056</v>
      </c>
      <c r="F1281" s="23"/>
      <c r="G1281" s="12" t="s">
        <v>1057</v>
      </c>
      <c r="H1281" s="7" t="s">
        <v>158</v>
      </c>
      <c r="I1281" s="27">
        <v>4</v>
      </c>
      <c r="J1281" s="253">
        <v>22.3</v>
      </c>
      <c r="K1281" s="9">
        <f t="shared" si="87"/>
        <v>29.213000000000001</v>
      </c>
      <c r="L1281" s="253">
        <v>16.8</v>
      </c>
      <c r="M1281" s="9">
        <f t="shared" si="83"/>
        <v>34.119999999999997</v>
      </c>
      <c r="N1281" s="948">
        <v>0</v>
      </c>
      <c r="O1281" s="900">
        <f t="shared" si="86"/>
        <v>4</v>
      </c>
      <c r="P1281" s="901">
        <f t="shared" si="84"/>
        <v>136.47999999999999</v>
      </c>
      <c r="Q1281" s="873"/>
      <c r="R1281" s="873"/>
      <c r="S1281" s="840"/>
      <c r="T1281" s="853"/>
    </row>
    <row r="1282" spans="1:20">
      <c r="D1282" s="49"/>
      <c r="E1282" s="826"/>
      <c r="F1282" s="23"/>
      <c r="G1282" s="12"/>
      <c r="H1282" s="7"/>
      <c r="I1282" s="27"/>
      <c r="J1282" s="253"/>
      <c r="K1282" s="253"/>
      <c r="L1282" s="253"/>
      <c r="M1282" s="9"/>
      <c r="N1282" s="948"/>
      <c r="O1282" s="900"/>
      <c r="P1282" s="901"/>
      <c r="Q1282" s="874"/>
      <c r="R1282" s="874"/>
      <c r="S1282" s="841"/>
      <c r="T1282" s="854"/>
    </row>
    <row r="1283" spans="1:20">
      <c r="D1283" s="49"/>
      <c r="E1283" s="826"/>
      <c r="F1283" s="23"/>
      <c r="G1283" s="12"/>
      <c r="H1283" s="7"/>
      <c r="I1283" s="27"/>
      <c r="J1283" s="253"/>
      <c r="K1283" s="253"/>
      <c r="L1283" s="253"/>
      <c r="M1283" s="9"/>
      <c r="N1283" s="948"/>
      <c r="O1283" s="900"/>
      <c r="P1283" s="901"/>
      <c r="Q1283" s="874"/>
      <c r="R1283" s="874"/>
      <c r="S1283" s="841"/>
      <c r="T1283" s="854"/>
    </row>
    <row r="1284" spans="1:20">
      <c r="D1284" s="49"/>
      <c r="E1284" s="826"/>
      <c r="F1284" s="23"/>
      <c r="G1284" s="12"/>
      <c r="H1284" s="7"/>
      <c r="I1284" s="27"/>
      <c r="J1284" s="253"/>
      <c r="K1284" s="253"/>
      <c r="L1284" s="253"/>
      <c r="M1284" s="9"/>
      <c r="N1284" s="948"/>
      <c r="O1284" s="900"/>
      <c r="P1284" s="901"/>
      <c r="Q1284" s="874"/>
      <c r="R1284" s="874"/>
      <c r="S1284" s="841"/>
      <c r="T1284" s="854"/>
    </row>
    <row r="1285" spans="1:20">
      <c r="D1285" s="49" t="s">
        <v>15</v>
      </c>
      <c r="E1285" s="57"/>
      <c r="F1285" s="50"/>
      <c r="G1285" s="12" t="s">
        <v>867</v>
      </c>
      <c r="H1285" s="18"/>
      <c r="I1285" s="27"/>
      <c r="J1285" s="253"/>
      <c r="K1285" s="253"/>
      <c r="L1285" s="253"/>
      <c r="M1285" s="9"/>
      <c r="N1285" s="948"/>
      <c r="O1285" s="900"/>
      <c r="P1285" s="901"/>
      <c r="Q1285" s="874"/>
      <c r="R1285" s="874"/>
      <c r="S1285" s="841"/>
      <c r="T1285" s="854"/>
    </row>
    <row r="1286" spans="1:20" s="610" customFormat="1" ht="38.25">
      <c r="A1286" s="915"/>
      <c r="B1286" s="919"/>
      <c r="C1286" s="913" t="s">
        <v>2455</v>
      </c>
      <c r="D1286" s="49" t="s">
        <v>249</v>
      </c>
      <c r="E1286" s="57" t="s">
        <v>768</v>
      </c>
      <c r="F1286" s="50"/>
      <c r="G1286" s="134" t="s">
        <v>769</v>
      </c>
      <c r="H1286" s="18" t="s">
        <v>326</v>
      </c>
      <c r="I1286" s="27">
        <v>1</v>
      </c>
      <c r="J1286" s="253">
        <v>423.43</v>
      </c>
      <c r="K1286" s="9">
        <f>J1286*$S$3</f>
        <v>554.69330000000002</v>
      </c>
      <c r="L1286" s="253">
        <v>16.8</v>
      </c>
      <c r="M1286" s="9">
        <f t="shared" si="83"/>
        <v>647.88</v>
      </c>
      <c r="N1286" s="948">
        <v>0</v>
      </c>
      <c r="O1286" s="900">
        <f t="shared" si="86"/>
        <v>1</v>
      </c>
      <c r="P1286" s="901">
        <f t="shared" si="84"/>
        <v>647.88</v>
      </c>
      <c r="Q1286" s="873"/>
      <c r="R1286" s="873"/>
      <c r="S1286" s="840"/>
      <c r="T1286" s="853"/>
    </row>
    <row r="1287" spans="1:20">
      <c r="D1287" s="49"/>
      <c r="E1287" s="24"/>
      <c r="F1287" s="24"/>
      <c r="G1287" s="134"/>
      <c r="H1287" s="18"/>
      <c r="I1287" s="27"/>
      <c r="J1287" s="253"/>
      <c r="K1287" s="253"/>
      <c r="L1287" s="253"/>
      <c r="M1287" s="9"/>
      <c r="N1287" s="926"/>
      <c r="O1287" s="900"/>
      <c r="P1287" s="901"/>
      <c r="Q1287" s="874"/>
      <c r="R1287" s="874"/>
      <c r="S1287" s="841"/>
      <c r="T1287" s="854"/>
    </row>
    <row r="1288" spans="1:20">
      <c r="D1288" s="49"/>
      <c r="E1288" s="24"/>
      <c r="F1288" s="24"/>
      <c r="G1288" s="185"/>
      <c r="H1288" s="18"/>
      <c r="I1288" s="27"/>
      <c r="J1288" s="253"/>
      <c r="K1288" s="253"/>
      <c r="L1288" s="253"/>
      <c r="M1288" s="9"/>
      <c r="N1288" s="936"/>
      <c r="O1288" s="900"/>
      <c r="P1288" s="901"/>
      <c r="Q1288" s="874"/>
      <c r="R1288" s="874"/>
      <c r="S1288" s="841"/>
      <c r="T1288" s="854"/>
    </row>
    <row r="1289" spans="1:20" s="299" customFormat="1">
      <c r="A1289" s="918"/>
      <c r="B1289" s="922"/>
      <c r="C1289" s="924"/>
      <c r="D1289" s="929"/>
      <c r="E1289" s="930"/>
      <c r="F1289" s="929"/>
      <c r="G1289" s="930" t="s">
        <v>70</v>
      </c>
      <c r="H1289" s="929" t="str">
        <f>D1227</f>
        <v>25.7</v>
      </c>
      <c r="I1289" s="929"/>
      <c r="J1289" s="929"/>
      <c r="K1289" s="929"/>
      <c r="L1289" s="929"/>
      <c r="M1289" s="9"/>
      <c r="N1289" s="937"/>
      <c r="O1289" s="900"/>
      <c r="P1289" s="901">
        <f>SUM(P1233:P1286)</f>
        <v>12195.239999999993</v>
      </c>
      <c r="Q1289" s="874"/>
      <c r="R1289" s="874"/>
      <c r="S1289" s="841"/>
      <c r="T1289" s="854"/>
    </row>
    <row r="1290" spans="1:20">
      <c r="D1290" s="384"/>
      <c r="E1290" s="931"/>
      <c r="F1290" s="384"/>
      <c r="G1290" s="384"/>
      <c r="H1290" s="384"/>
      <c r="I1290" s="384"/>
      <c r="J1290" s="384"/>
      <c r="K1290" s="384"/>
      <c r="L1290" s="384"/>
      <c r="M1290" s="9"/>
      <c r="N1290" s="926"/>
      <c r="O1290" s="900"/>
      <c r="P1290" s="901"/>
      <c r="Q1290" s="874"/>
      <c r="R1290" s="874"/>
      <c r="S1290" s="841"/>
      <c r="T1290" s="854"/>
    </row>
    <row r="1291" spans="1:20" s="310" customFormat="1">
      <c r="A1291" s="915"/>
      <c r="B1291" s="919"/>
      <c r="C1291" s="913"/>
      <c r="D1291" s="108">
        <v>27</v>
      </c>
      <c r="E1291" s="813"/>
      <c r="F1291" s="109"/>
      <c r="G1291" s="108" t="s">
        <v>1979</v>
      </c>
      <c r="H1291" s="109"/>
      <c r="I1291" s="109"/>
      <c r="J1291" s="109"/>
      <c r="K1291" s="109"/>
      <c r="L1291" s="109"/>
      <c r="M1291" s="791"/>
      <c r="N1291" s="378"/>
      <c r="O1291" s="792"/>
      <c r="P1291" s="864"/>
      <c r="Q1291" s="872"/>
      <c r="R1291" s="872"/>
      <c r="S1291" s="842"/>
      <c r="T1291" s="852"/>
    </row>
    <row r="1292" spans="1:20">
      <c r="D1292" s="44"/>
      <c r="E1292" s="296"/>
      <c r="F1292" s="44"/>
      <c r="G1292" s="44"/>
      <c r="H1292" s="44"/>
      <c r="I1292" s="44"/>
      <c r="J1292" s="302"/>
      <c r="K1292" s="302"/>
      <c r="L1292" s="44"/>
      <c r="M1292" s="9"/>
      <c r="N1292" s="375"/>
      <c r="O1292" s="789"/>
      <c r="P1292" s="863"/>
      <c r="Q1292" s="874"/>
      <c r="R1292" s="874"/>
      <c r="S1292" s="841"/>
      <c r="T1292" s="854"/>
    </row>
    <row r="1293" spans="1:20" ht="25.5">
      <c r="D1293" s="207"/>
      <c r="E1293" s="56"/>
      <c r="F1293" s="65"/>
      <c r="G1293" s="168" t="s">
        <v>342</v>
      </c>
      <c r="H1293" s="22"/>
      <c r="I1293" s="51"/>
      <c r="J1293" s="20"/>
      <c r="K1293" s="20"/>
      <c r="L1293" s="20"/>
      <c r="M1293" s="9"/>
      <c r="N1293" s="926"/>
      <c r="O1293" s="900"/>
      <c r="P1293" s="901"/>
      <c r="Q1293" s="874"/>
      <c r="R1293" s="874"/>
      <c r="S1293" s="841"/>
      <c r="T1293" s="854"/>
    </row>
    <row r="1294" spans="1:20">
      <c r="D1294" s="207"/>
      <c r="E1294" s="56"/>
      <c r="F1294" s="65"/>
      <c r="G1294" s="168"/>
      <c r="H1294" s="22"/>
      <c r="I1294" s="51"/>
      <c r="J1294" s="20"/>
      <c r="K1294" s="20"/>
      <c r="L1294" s="20"/>
      <c r="M1294" s="9"/>
      <c r="N1294" s="926"/>
      <c r="O1294" s="900"/>
      <c r="P1294" s="901"/>
      <c r="Q1294" s="874"/>
      <c r="R1294" s="874"/>
      <c r="S1294" s="841"/>
      <c r="T1294" s="854"/>
    </row>
    <row r="1295" spans="1:20">
      <c r="D1295" s="59">
        <v>1</v>
      </c>
      <c r="E1295" s="56"/>
      <c r="F1295" s="65"/>
      <c r="G1295" s="168" t="s">
        <v>1665</v>
      </c>
      <c r="H1295" s="79"/>
      <c r="I1295" s="219"/>
      <c r="J1295" s="66"/>
      <c r="K1295" s="66"/>
      <c r="L1295" s="66"/>
      <c r="M1295" s="9"/>
      <c r="N1295" s="926"/>
      <c r="O1295" s="900"/>
      <c r="P1295" s="901"/>
      <c r="Q1295" s="874"/>
      <c r="R1295" s="874"/>
      <c r="S1295" s="841"/>
      <c r="T1295" s="854"/>
    </row>
    <row r="1296" spans="1:20">
      <c r="D1296" s="55" t="s">
        <v>20</v>
      </c>
      <c r="E1296" s="829"/>
      <c r="F1296" s="277"/>
      <c r="G1296" s="61" t="s">
        <v>1664</v>
      </c>
      <c r="H1296" s="278"/>
      <c r="I1296" s="279"/>
      <c r="J1296" s="280"/>
      <c r="K1296" s="280"/>
      <c r="L1296" s="280"/>
      <c r="M1296" s="9"/>
      <c r="N1296" s="926"/>
      <c r="O1296" s="900"/>
      <c r="P1296" s="901"/>
      <c r="Q1296" s="874"/>
      <c r="R1296" s="874"/>
      <c r="S1296" s="841"/>
      <c r="T1296" s="854"/>
    </row>
    <row r="1297" spans="1:20">
      <c r="D1297" s="55" t="s">
        <v>153</v>
      </c>
      <c r="E1297" s="56"/>
      <c r="F1297" s="65"/>
      <c r="G1297" s="61" t="s">
        <v>1663</v>
      </c>
      <c r="H1297" s="22"/>
      <c r="I1297" s="51"/>
      <c r="J1297" s="20"/>
      <c r="K1297" s="20"/>
      <c r="L1297" s="20"/>
      <c r="M1297" s="9"/>
      <c r="N1297" s="926"/>
      <c r="O1297" s="900"/>
      <c r="P1297" s="901"/>
      <c r="Q1297" s="874"/>
      <c r="R1297" s="874"/>
      <c r="S1297" s="841"/>
      <c r="T1297" s="854"/>
    </row>
    <row r="1298" spans="1:20" s="344" customFormat="1" ht="25.5">
      <c r="A1298" s="915"/>
      <c r="B1298" s="919"/>
      <c r="C1298" s="913"/>
      <c r="D1298" s="55" t="s">
        <v>152</v>
      </c>
      <c r="E1298" s="805">
        <f>'[3]Plan Tron'!B415</f>
        <v>9828</v>
      </c>
      <c r="F1298" s="805" t="str">
        <f>'[3]Plan Tron'!C415</f>
        <v>SINAPI (INSUMO)</v>
      </c>
      <c r="G1298" s="643" t="str">
        <f>'[3]Plan Tron'!D415</f>
        <v xml:space="preserve">TUBO PVC DEFOFO, JEI, 1 MPA, DN 150 MM, PARA REDEDE AGUA (NBR 7665) </v>
      </c>
      <c r="H1298" s="805" t="str">
        <f>'[3]Plan Tron'!E415</f>
        <v>M</v>
      </c>
      <c r="I1298" s="51">
        <v>112</v>
      </c>
      <c r="J1298" s="20">
        <v>58.84</v>
      </c>
      <c r="K1298" s="20">
        <f>'[3]Plan Tron'!F415</f>
        <v>62</v>
      </c>
      <c r="L1298" s="20">
        <v>16.8</v>
      </c>
      <c r="M1298" s="9">
        <f t="shared" ref="M1298:M1359" si="88">ROUND(K1298*(L1298/100+1),2)</f>
        <v>72.42</v>
      </c>
      <c r="N1298" s="948">
        <v>0</v>
      </c>
      <c r="O1298" s="900">
        <f t="shared" si="86"/>
        <v>112</v>
      </c>
      <c r="P1298" s="901">
        <f t="shared" ref="P1298:P1359" si="89">ROUND(O1298*M1298,2)</f>
        <v>8111.04</v>
      </c>
      <c r="Q1298" s="874"/>
      <c r="R1298" s="874"/>
      <c r="S1298" s="841"/>
      <c r="T1298" s="854"/>
    </row>
    <row r="1299" spans="1:20">
      <c r="D1299" s="55" t="s">
        <v>151</v>
      </c>
      <c r="E1299" s="830"/>
      <c r="F1299" s="83"/>
      <c r="G1299" s="61" t="s">
        <v>665</v>
      </c>
      <c r="H1299" s="18"/>
      <c r="I1299" s="51"/>
      <c r="J1299" s="20"/>
      <c r="K1299" s="20"/>
      <c r="L1299" s="20"/>
      <c r="M1299" s="9"/>
      <c r="N1299" s="926"/>
      <c r="O1299" s="900"/>
      <c r="P1299" s="901"/>
      <c r="Q1299" s="874"/>
      <c r="R1299" s="874"/>
      <c r="S1299" s="841"/>
      <c r="T1299" s="854"/>
    </row>
    <row r="1300" spans="1:20" s="610" customFormat="1" ht="25.5">
      <c r="A1300" s="915"/>
      <c r="B1300" s="919" t="s">
        <v>2457</v>
      </c>
      <c r="C1300" s="913"/>
      <c r="D1300" s="55" t="s">
        <v>150</v>
      </c>
      <c r="E1300" s="832" t="s">
        <v>1920</v>
      </c>
      <c r="F1300" s="217"/>
      <c r="G1300" s="61" t="s">
        <v>1662</v>
      </c>
      <c r="H1300" s="18" t="s">
        <v>246</v>
      </c>
      <c r="I1300" s="51">
        <v>1</v>
      </c>
      <c r="J1300" s="20">
        <v>380</v>
      </c>
      <c r="K1300" s="9">
        <f>J1300*$S$3</f>
        <v>497.8</v>
      </c>
      <c r="L1300" s="20">
        <v>16.8</v>
      </c>
      <c r="M1300" s="9">
        <f t="shared" si="88"/>
        <v>581.42999999999995</v>
      </c>
      <c r="N1300" s="948">
        <v>0</v>
      </c>
      <c r="O1300" s="900">
        <f t="shared" si="86"/>
        <v>1</v>
      </c>
      <c r="P1300" s="901">
        <f t="shared" si="89"/>
        <v>581.42999999999995</v>
      </c>
      <c r="Q1300" s="873"/>
      <c r="R1300" s="873"/>
      <c r="S1300" s="840"/>
      <c r="T1300" s="853"/>
    </row>
    <row r="1301" spans="1:20" s="610" customFormat="1" ht="25.5">
      <c r="A1301" s="915"/>
      <c r="B1301" s="919" t="s">
        <v>2457</v>
      </c>
      <c r="C1301" s="913"/>
      <c r="D1301" s="55" t="s">
        <v>1283</v>
      </c>
      <c r="E1301" s="832" t="s">
        <v>759</v>
      </c>
      <c r="F1301" s="217"/>
      <c r="G1301" s="61" t="s">
        <v>1661</v>
      </c>
      <c r="H1301" s="18" t="s">
        <v>246</v>
      </c>
      <c r="I1301" s="51">
        <v>1</v>
      </c>
      <c r="J1301" s="20">
        <v>1772.14</v>
      </c>
      <c r="K1301" s="9">
        <f>J1301*$S$3</f>
        <v>2321.5034000000001</v>
      </c>
      <c r="L1301" s="20">
        <v>16.8</v>
      </c>
      <c r="M1301" s="9">
        <f t="shared" si="88"/>
        <v>2711.52</v>
      </c>
      <c r="N1301" s="948">
        <v>0</v>
      </c>
      <c r="O1301" s="900">
        <f t="shared" si="86"/>
        <v>1</v>
      </c>
      <c r="P1301" s="901">
        <f t="shared" si="89"/>
        <v>2711.52</v>
      </c>
      <c r="Q1301" s="873"/>
      <c r="R1301" s="873"/>
      <c r="S1301" s="840"/>
      <c r="T1301" s="853"/>
    </row>
    <row r="1302" spans="1:20" s="610" customFormat="1" ht="25.5">
      <c r="A1302" s="915"/>
      <c r="B1302" s="919" t="s">
        <v>2457</v>
      </c>
      <c r="C1302" s="913"/>
      <c r="D1302" s="55" t="s">
        <v>1282</v>
      </c>
      <c r="E1302" s="832" t="s">
        <v>761</v>
      </c>
      <c r="F1302" s="217"/>
      <c r="G1302" s="61" t="s">
        <v>1660</v>
      </c>
      <c r="H1302" s="18" t="s">
        <v>246</v>
      </c>
      <c r="I1302" s="51">
        <v>1</v>
      </c>
      <c r="J1302" s="20">
        <v>861.37</v>
      </c>
      <c r="K1302" s="9">
        <f>J1302*$S$3</f>
        <v>1128.3947000000001</v>
      </c>
      <c r="L1302" s="20">
        <v>16.8</v>
      </c>
      <c r="M1302" s="9">
        <f t="shared" si="88"/>
        <v>1317.97</v>
      </c>
      <c r="N1302" s="948">
        <v>0</v>
      </c>
      <c r="O1302" s="900">
        <f t="shared" si="86"/>
        <v>1</v>
      </c>
      <c r="P1302" s="901">
        <f t="shared" si="89"/>
        <v>1317.97</v>
      </c>
      <c r="Q1302" s="873"/>
      <c r="R1302" s="873"/>
      <c r="S1302" s="840"/>
      <c r="T1302" s="853"/>
    </row>
    <row r="1303" spans="1:20">
      <c r="D1303" s="55" t="s">
        <v>149</v>
      </c>
      <c r="E1303" s="56"/>
      <c r="F1303" s="65"/>
      <c r="G1303" s="61" t="s">
        <v>1659</v>
      </c>
      <c r="H1303" s="18"/>
      <c r="I1303" s="51"/>
      <c r="J1303" s="20"/>
      <c r="K1303" s="20"/>
      <c r="L1303" s="20"/>
      <c r="M1303" s="9"/>
      <c r="N1303" s="926"/>
      <c r="O1303" s="900"/>
      <c r="P1303" s="901"/>
      <c r="Q1303" s="874"/>
      <c r="R1303" s="874"/>
      <c r="S1303" s="841"/>
      <c r="T1303" s="854"/>
    </row>
    <row r="1304" spans="1:20" s="610" customFormat="1">
      <c r="A1304" s="915"/>
      <c r="B1304" s="919" t="s">
        <v>2457</v>
      </c>
      <c r="C1304" s="913"/>
      <c r="D1304" s="55" t="s">
        <v>148</v>
      </c>
      <c r="E1304" s="820" t="s">
        <v>1657</v>
      </c>
      <c r="F1304" s="87"/>
      <c r="G1304" s="61" t="s">
        <v>1658</v>
      </c>
      <c r="H1304" s="18" t="s">
        <v>246</v>
      </c>
      <c r="I1304" s="51">
        <v>3</v>
      </c>
      <c r="J1304" s="20">
        <v>193.99</v>
      </c>
      <c r="K1304" s="9">
        <f>J1304*$S$3</f>
        <v>254.12690000000003</v>
      </c>
      <c r="L1304" s="20">
        <v>16.8</v>
      </c>
      <c r="M1304" s="9">
        <f t="shared" si="88"/>
        <v>296.82</v>
      </c>
      <c r="N1304" s="948">
        <v>0</v>
      </c>
      <c r="O1304" s="900">
        <f t="shared" si="86"/>
        <v>3</v>
      </c>
      <c r="P1304" s="901">
        <f t="shared" si="89"/>
        <v>890.46</v>
      </c>
      <c r="Q1304" s="873"/>
      <c r="R1304" s="873"/>
      <c r="S1304" s="840"/>
      <c r="T1304" s="853"/>
    </row>
    <row r="1305" spans="1:20" s="610" customFormat="1">
      <c r="A1305" s="915"/>
      <c r="B1305" s="919" t="s">
        <v>2457</v>
      </c>
      <c r="C1305" s="913"/>
      <c r="D1305" s="55" t="s">
        <v>1656</v>
      </c>
      <c r="E1305" s="832" t="s">
        <v>1921</v>
      </c>
      <c r="F1305" s="217"/>
      <c r="G1305" s="61" t="s">
        <v>1655</v>
      </c>
      <c r="H1305" s="18" t="s">
        <v>246</v>
      </c>
      <c r="I1305" s="51">
        <v>1</v>
      </c>
      <c r="J1305" s="20">
        <v>330</v>
      </c>
      <c r="K1305" s="9">
        <f>J1305*$S$3</f>
        <v>432.3</v>
      </c>
      <c r="L1305" s="20">
        <v>16.8</v>
      </c>
      <c r="M1305" s="9">
        <f t="shared" si="88"/>
        <v>504.93</v>
      </c>
      <c r="N1305" s="948">
        <v>0</v>
      </c>
      <c r="O1305" s="900">
        <f t="shared" si="86"/>
        <v>1</v>
      </c>
      <c r="P1305" s="901">
        <f t="shared" si="89"/>
        <v>504.93</v>
      </c>
      <c r="Q1305" s="873"/>
      <c r="R1305" s="873"/>
      <c r="S1305" s="840"/>
      <c r="T1305" s="853"/>
    </row>
    <row r="1306" spans="1:20" s="610" customFormat="1">
      <c r="A1306" s="915"/>
      <c r="B1306" s="919" t="s">
        <v>2457</v>
      </c>
      <c r="C1306" s="913"/>
      <c r="D1306" s="55" t="s">
        <v>1654</v>
      </c>
      <c r="E1306" s="832" t="s">
        <v>755</v>
      </c>
      <c r="F1306" s="217"/>
      <c r="G1306" s="61" t="s">
        <v>1653</v>
      </c>
      <c r="H1306" s="18" t="s">
        <v>246</v>
      </c>
      <c r="I1306" s="51">
        <v>2</v>
      </c>
      <c r="J1306" s="20">
        <v>252.72</v>
      </c>
      <c r="K1306" s="9">
        <f>J1306*$S$3</f>
        <v>331.06319999999999</v>
      </c>
      <c r="L1306" s="20">
        <v>16.8</v>
      </c>
      <c r="M1306" s="9">
        <f t="shared" si="88"/>
        <v>386.68</v>
      </c>
      <c r="N1306" s="948">
        <v>0</v>
      </c>
      <c r="O1306" s="900">
        <f t="shared" si="86"/>
        <v>2</v>
      </c>
      <c r="P1306" s="901">
        <f t="shared" si="89"/>
        <v>773.36</v>
      </c>
      <c r="Q1306" s="873"/>
      <c r="R1306" s="873"/>
      <c r="S1306" s="840"/>
      <c r="T1306" s="853"/>
    </row>
    <row r="1307" spans="1:20">
      <c r="D1307" s="55" t="s">
        <v>240</v>
      </c>
      <c r="E1307" s="820"/>
      <c r="F1307" s="87"/>
      <c r="G1307" s="61" t="s">
        <v>1652</v>
      </c>
      <c r="H1307" s="18"/>
      <c r="I1307" s="51"/>
      <c r="J1307" s="20"/>
      <c r="K1307" s="20"/>
      <c r="L1307" s="20"/>
      <c r="M1307" s="9"/>
      <c r="N1307" s="926"/>
      <c r="O1307" s="900"/>
      <c r="P1307" s="901"/>
      <c r="Q1307" s="874"/>
      <c r="R1307" s="874"/>
      <c r="S1307" s="841"/>
      <c r="T1307" s="854"/>
    </row>
    <row r="1308" spans="1:20" s="610" customFormat="1" ht="25.5">
      <c r="A1308" s="915"/>
      <c r="B1308" s="919" t="s">
        <v>2457</v>
      </c>
      <c r="C1308" s="913"/>
      <c r="D1308" s="55" t="s">
        <v>1651</v>
      </c>
      <c r="E1308" s="832" t="s">
        <v>578</v>
      </c>
      <c r="F1308" s="217"/>
      <c r="G1308" s="61" t="s">
        <v>1650</v>
      </c>
      <c r="H1308" s="18" t="s">
        <v>326</v>
      </c>
      <c r="I1308" s="51">
        <v>2</v>
      </c>
      <c r="J1308" s="20">
        <v>95.24</v>
      </c>
      <c r="K1308" s="9">
        <f>J1308*$S$3</f>
        <v>124.76439999999999</v>
      </c>
      <c r="L1308" s="20">
        <v>16.8</v>
      </c>
      <c r="M1308" s="9">
        <f t="shared" si="88"/>
        <v>145.72</v>
      </c>
      <c r="N1308" s="948">
        <v>0</v>
      </c>
      <c r="O1308" s="900">
        <f t="shared" si="86"/>
        <v>2</v>
      </c>
      <c r="P1308" s="901">
        <f t="shared" si="89"/>
        <v>291.44</v>
      </c>
      <c r="Q1308" s="873"/>
      <c r="R1308" s="873"/>
      <c r="S1308" s="840"/>
      <c r="T1308" s="853"/>
    </row>
    <row r="1309" spans="1:20" s="610" customFormat="1">
      <c r="A1309" s="915"/>
      <c r="B1309" s="919" t="s">
        <v>2457</v>
      </c>
      <c r="C1309" s="913"/>
      <c r="D1309" s="55" t="s">
        <v>1649</v>
      </c>
      <c r="E1309" s="820" t="s">
        <v>1647</v>
      </c>
      <c r="F1309" s="87"/>
      <c r="G1309" s="61" t="s">
        <v>1648</v>
      </c>
      <c r="H1309" s="18" t="s">
        <v>326</v>
      </c>
      <c r="I1309" s="51">
        <v>4</v>
      </c>
      <c r="J1309" s="20">
        <v>147.15</v>
      </c>
      <c r="K1309" s="9">
        <f>J1309*$S$3</f>
        <v>192.76650000000001</v>
      </c>
      <c r="L1309" s="20">
        <v>16.8</v>
      </c>
      <c r="M1309" s="9">
        <f t="shared" si="88"/>
        <v>225.15</v>
      </c>
      <c r="N1309" s="948">
        <v>0</v>
      </c>
      <c r="O1309" s="900">
        <f t="shared" si="86"/>
        <v>4</v>
      </c>
      <c r="P1309" s="901">
        <f t="shared" si="89"/>
        <v>900.6</v>
      </c>
      <c r="Q1309" s="873"/>
      <c r="R1309" s="873"/>
      <c r="S1309" s="840"/>
      <c r="T1309" s="853"/>
    </row>
    <row r="1310" spans="1:20">
      <c r="D1310" s="55"/>
      <c r="E1310" s="820"/>
      <c r="F1310" s="87"/>
      <c r="G1310" s="61"/>
      <c r="H1310" s="18"/>
      <c r="I1310" s="51"/>
      <c r="J1310" s="20"/>
      <c r="K1310" s="20"/>
      <c r="L1310" s="20"/>
      <c r="M1310" s="9"/>
      <c r="N1310" s="926"/>
      <c r="O1310" s="900"/>
      <c r="P1310" s="901"/>
      <c r="Q1310" s="874"/>
      <c r="R1310" s="874"/>
      <c r="S1310" s="841"/>
      <c r="T1310" s="854"/>
    </row>
    <row r="1311" spans="1:20">
      <c r="D1311" s="18" t="s">
        <v>19</v>
      </c>
      <c r="E1311" s="56"/>
      <c r="F1311" s="65"/>
      <c r="G1311" s="61" t="s">
        <v>1646</v>
      </c>
      <c r="H1311" s="18"/>
      <c r="I1311" s="51"/>
      <c r="J1311" s="20"/>
      <c r="K1311" s="20"/>
      <c r="L1311" s="20"/>
      <c r="M1311" s="9"/>
      <c r="N1311" s="926"/>
      <c r="O1311" s="900"/>
      <c r="P1311" s="901"/>
      <c r="Q1311" s="874"/>
      <c r="R1311" s="874"/>
      <c r="S1311" s="841"/>
      <c r="T1311" s="854"/>
    </row>
    <row r="1312" spans="1:20">
      <c r="D1312" s="18" t="s">
        <v>147</v>
      </c>
      <c r="E1312" s="56"/>
      <c r="F1312" s="65"/>
      <c r="G1312" s="61" t="s">
        <v>665</v>
      </c>
      <c r="H1312" s="18"/>
      <c r="I1312" s="51"/>
      <c r="J1312" s="20"/>
      <c r="K1312" s="20"/>
      <c r="L1312" s="20"/>
      <c r="M1312" s="9"/>
      <c r="N1312" s="926"/>
      <c r="O1312" s="900"/>
      <c r="P1312" s="901"/>
      <c r="Q1312" s="874"/>
      <c r="R1312" s="874"/>
      <c r="S1312" s="841"/>
      <c r="T1312" s="854"/>
    </row>
    <row r="1313" spans="1:20" s="610" customFormat="1" ht="25.5">
      <c r="A1313" s="915" t="s">
        <v>2456</v>
      </c>
      <c r="B1313" s="919"/>
      <c r="C1313" s="913"/>
      <c r="D1313" s="18" t="s">
        <v>146</v>
      </c>
      <c r="E1313" s="820" t="s">
        <v>1644</v>
      </c>
      <c r="F1313" s="87"/>
      <c r="G1313" s="61" t="s">
        <v>1645</v>
      </c>
      <c r="H1313" s="18" t="s">
        <v>110</v>
      </c>
      <c r="I1313" s="51">
        <v>91.76</v>
      </c>
      <c r="J1313" s="20">
        <v>860.01</v>
      </c>
      <c r="K1313" s="9">
        <f>J1313*$S$3</f>
        <v>1126.6131</v>
      </c>
      <c r="L1313" s="20">
        <v>16.8</v>
      </c>
      <c r="M1313" s="9">
        <f t="shared" si="88"/>
        <v>1315.88</v>
      </c>
      <c r="N1313" s="948">
        <v>0</v>
      </c>
      <c r="O1313" s="900">
        <f t="shared" si="86"/>
        <v>91.76</v>
      </c>
      <c r="P1313" s="901">
        <f t="shared" si="89"/>
        <v>120745.15</v>
      </c>
      <c r="Q1313" s="873"/>
      <c r="R1313" s="873"/>
      <c r="S1313" s="840"/>
      <c r="T1313" s="853"/>
    </row>
    <row r="1314" spans="1:20">
      <c r="D1314" s="18" t="s">
        <v>213</v>
      </c>
      <c r="E1314" s="820"/>
      <c r="F1314" s="87"/>
      <c r="G1314" s="61" t="s">
        <v>1643</v>
      </c>
      <c r="H1314" s="18"/>
      <c r="I1314" s="51"/>
      <c r="J1314" s="20"/>
      <c r="K1314" s="20"/>
      <c r="L1314" s="20"/>
      <c r="M1314" s="9"/>
      <c r="N1314" s="926"/>
      <c r="O1314" s="900"/>
      <c r="P1314" s="901"/>
      <c r="Q1314" s="874"/>
      <c r="R1314" s="874"/>
      <c r="S1314" s="841"/>
      <c r="T1314" s="854"/>
    </row>
    <row r="1315" spans="1:20" s="344" customFormat="1" ht="25.5">
      <c r="A1315" s="915"/>
      <c r="B1315" s="919"/>
      <c r="C1315" s="913"/>
      <c r="D1315" s="18" t="s">
        <v>1642</v>
      </c>
      <c r="E1315" s="805">
        <f>'[3]Plan Tron'!B416</f>
        <v>7744</v>
      </c>
      <c r="F1315" s="805" t="str">
        <f>'[3]Plan Tron'!C416</f>
        <v>SINAPI (INSUMO)</v>
      </c>
      <c r="G1315" s="643" t="str">
        <f>'[3]Plan Tron'!D416</f>
        <v>TUBO CONCRETO ARMADO, CLASSE EA-2, PB JE, DN 700 MM, PARA ESGOTO SANITARIO (NBR 8890)</v>
      </c>
      <c r="H1315" s="805" t="str">
        <f>'[3]Plan Tron'!E416</f>
        <v>M</v>
      </c>
      <c r="I1315" s="51">
        <v>4.76</v>
      </c>
      <c r="J1315" s="20">
        <v>227.1</v>
      </c>
      <c r="K1315" s="20">
        <f>'[3]Plan Tron'!F416</f>
        <v>182.17</v>
      </c>
      <c r="L1315" s="20">
        <v>16.8</v>
      </c>
      <c r="M1315" s="9">
        <f t="shared" si="88"/>
        <v>212.77</v>
      </c>
      <c r="N1315" s="948">
        <v>0</v>
      </c>
      <c r="O1315" s="900">
        <f t="shared" ref="O1315:O1368" si="90">I1315-N1315</f>
        <v>4.76</v>
      </c>
      <c r="P1315" s="901">
        <f t="shared" si="89"/>
        <v>1012.79</v>
      </c>
      <c r="Q1315" s="874"/>
      <c r="R1315" s="874"/>
      <c r="S1315" s="841"/>
      <c r="T1315" s="854"/>
    </row>
    <row r="1316" spans="1:20">
      <c r="D1316" s="18" t="s">
        <v>18</v>
      </c>
      <c r="E1316" s="829"/>
      <c r="F1316" s="277"/>
      <c r="G1316" s="61" t="s">
        <v>1641</v>
      </c>
      <c r="H1316" s="281"/>
      <c r="I1316" s="279"/>
      <c r="J1316" s="280"/>
      <c r="K1316" s="280"/>
      <c r="L1316" s="280"/>
      <c r="M1316" s="9"/>
      <c r="N1316" s="926"/>
      <c r="O1316" s="900"/>
      <c r="P1316" s="901"/>
      <c r="Q1316" s="874"/>
      <c r="R1316" s="874"/>
      <c r="S1316" s="841"/>
      <c r="T1316" s="854"/>
    </row>
    <row r="1317" spans="1:20">
      <c r="D1317" s="18" t="s">
        <v>201</v>
      </c>
      <c r="E1317" s="56"/>
      <c r="F1317" s="65"/>
      <c r="G1317" s="61" t="s">
        <v>340</v>
      </c>
      <c r="H1317" s="18"/>
      <c r="I1317" s="51"/>
      <c r="J1317" s="20"/>
      <c r="K1317" s="20"/>
      <c r="L1317" s="20"/>
      <c r="M1317" s="9"/>
      <c r="N1317" s="926"/>
      <c r="O1317" s="900"/>
      <c r="P1317" s="901"/>
      <c r="Q1317" s="874"/>
      <c r="R1317" s="874"/>
      <c r="S1317" s="841"/>
      <c r="T1317" s="854"/>
    </row>
    <row r="1318" spans="1:20" s="610" customFormat="1" ht="25.5">
      <c r="A1318" s="915"/>
      <c r="B1318" s="919" t="s">
        <v>2457</v>
      </c>
      <c r="C1318" s="913"/>
      <c r="D1318" s="820" t="s">
        <v>888</v>
      </c>
      <c r="E1318" s="832" t="s">
        <v>1922</v>
      </c>
      <c r="F1318" s="217"/>
      <c r="G1318" s="64" t="s">
        <v>1640</v>
      </c>
      <c r="H1318" s="18" t="s">
        <v>246</v>
      </c>
      <c r="I1318" s="51">
        <v>1</v>
      </c>
      <c r="J1318" s="217">
        <v>960</v>
      </c>
      <c r="K1318" s="9">
        <f>J1318*$S$3</f>
        <v>1257.6000000000001</v>
      </c>
      <c r="L1318" s="20">
        <v>16.8</v>
      </c>
      <c r="M1318" s="9">
        <f t="shared" si="88"/>
        <v>1468.88</v>
      </c>
      <c r="N1318" s="948">
        <v>0</v>
      </c>
      <c r="O1318" s="900">
        <f t="shared" si="90"/>
        <v>1</v>
      </c>
      <c r="P1318" s="901">
        <f t="shared" si="89"/>
        <v>1468.88</v>
      </c>
      <c r="Q1318" s="873"/>
      <c r="R1318" s="873"/>
      <c r="S1318" s="840"/>
      <c r="T1318" s="853"/>
    </row>
    <row r="1319" spans="1:20" s="610" customFormat="1" ht="25.5">
      <c r="A1319" s="915"/>
      <c r="B1319" s="919" t="s">
        <v>2457</v>
      </c>
      <c r="C1319" s="913"/>
      <c r="D1319" s="949" t="s">
        <v>1639</v>
      </c>
      <c r="E1319" s="832" t="s">
        <v>1923</v>
      </c>
      <c r="F1319" s="217"/>
      <c r="G1319" s="950" t="s">
        <v>1638</v>
      </c>
      <c r="H1319" s="18" t="s">
        <v>246</v>
      </c>
      <c r="I1319" s="51">
        <v>1</v>
      </c>
      <c r="J1319" s="217">
        <v>960</v>
      </c>
      <c r="K1319" s="9">
        <f>J1319*$S$3</f>
        <v>1257.6000000000001</v>
      </c>
      <c r="L1319" s="20">
        <v>16.8</v>
      </c>
      <c r="M1319" s="9">
        <f t="shared" si="88"/>
        <v>1468.88</v>
      </c>
      <c r="N1319" s="948">
        <v>0</v>
      </c>
      <c r="O1319" s="900">
        <f t="shared" si="90"/>
        <v>1</v>
      </c>
      <c r="P1319" s="901">
        <f t="shared" si="89"/>
        <v>1468.88</v>
      </c>
      <c r="Q1319" s="873"/>
      <c r="R1319" s="873"/>
      <c r="S1319" s="840"/>
      <c r="T1319" s="853"/>
    </row>
    <row r="1320" spans="1:20" s="610" customFormat="1" ht="25.5">
      <c r="A1320" s="915"/>
      <c r="B1320" s="919" t="s">
        <v>2457</v>
      </c>
      <c r="C1320" s="913"/>
      <c r="D1320" s="820" t="s">
        <v>1637</v>
      </c>
      <c r="E1320" s="832" t="s">
        <v>1924</v>
      </c>
      <c r="F1320" s="217"/>
      <c r="G1320" s="64" t="s">
        <v>1636</v>
      </c>
      <c r="H1320" s="18" t="s">
        <v>246</v>
      </c>
      <c r="I1320" s="51">
        <v>1</v>
      </c>
      <c r="J1320" s="217">
        <v>350</v>
      </c>
      <c r="K1320" s="9">
        <f>J1320*$S$3</f>
        <v>458.5</v>
      </c>
      <c r="L1320" s="20">
        <v>16.8</v>
      </c>
      <c r="M1320" s="9">
        <f t="shared" si="88"/>
        <v>535.53</v>
      </c>
      <c r="N1320" s="948">
        <v>0</v>
      </c>
      <c r="O1320" s="900">
        <f t="shared" si="90"/>
        <v>1</v>
      </c>
      <c r="P1320" s="901">
        <f t="shared" si="89"/>
        <v>535.53</v>
      </c>
      <c r="Q1320" s="873"/>
      <c r="R1320" s="873"/>
      <c r="S1320" s="840"/>
      <c r="T1320" s="853"/>
    </row>
    <row r="1321" spans="1:20">
      <c r="D1321" s="18" t="s">
        <v>198</v>
      </c>
      <c r="E1321" s="56"/>
      <c r="F1321" s="65"/>
      <c r="G1321" s="61" t="s">
        <v>335</v>
      </c>
      <c r="H1321" s="18"/>
      <c r="I1321" s="51"/>
      <c r="J1321" s="20"/>
      <c r="K1321" s="20"/>
      <c r="L1321" s="20"/>
      <c r="M1321" s="9"/>
      <c r="N1321" s="926"/>
      <c r="O1321" s="900"/>
      <c r="P1321" s="901"/>
      <c r="Q1321" s="874"/>
      <c r="R1321" s="874"/>
      <c r="S1321" s="841"/>
      <c r="T1321" s="854"/>
    </row>
    <row r="1322" spans="1:20" s="610" customFormat="1">
      <c r="A1322" s="915"/>
      <c r="B1322" s="919" t="s">
        <v>2457</v>
      </c>
      <c r="C1322" s="913"/>
      <c r="D1322" s="18" t="s">
        <v>1635</v>
      </c>
      <c r="E1322" s="820" t="s">
        <v>1633</v>
      </c>
      <c r="F1322" s="87"/>
      <c r="G1322" s="61" t="s">
        <v>1634</v>
      </c>
      <c r="H1322" s="18" t="s">
        <v>246</v>
      </c>
      <c r="I1322" s="51">
        <v>1</v>
      </c>
      <c r="J1322" s="217">
        <v>75.709999999999994</v>
      </c>
      <c r="K1322" s="9">
        <f>J1322*$S$3</f>
        <v>99.180099999999996</v>
      </c>
      <c r="L1322" s="20">
        <v>16.8</v>
      </c>
      <c r="M1322" s="9">
        <f t="shared" si="88"/>
        <v>115.84</v>
      </c>
      <c r="N1322" s="948">
        <v>0</v>
      </c>
      <c r="O1322" s="900">
        <f t="shared" si="90"/>
        <v>1</v>
      </c>
      <c r="P1322" s="901">
        <f t="shared" si="89"/>
        <v>115.84</v>
      </c>
      <c r="Q1322" s="873"/>
      <c r="R1322" s="873"/>
      <c r="S1322" s="840"/>
      <c r="T1322" s="853"/>
    </row>
    <row r="1323" spans="1:20" s="610" customFormat="1">
      <c r="A1323" s="915"/>
      <c r="B1323" s="919" t="s">
        <v>2457</v>
      </c>
      <c r="C1323" s="913"/>
      <c r="D1323" s="18" t="s">
        <v>1632</v>
      </c>
      <c r="E1323" s="820" t="s">
        <v>1630</v>
      </c>
      <c r="F1323" s="87"/>
      <c r="G1323" s="61" t="s">
        <v>1631</v>
      </c>
      <c r="H1323" s="18" t="s">
        <v>246</v>
      </c>
      <c r="I1323" s="51">
        <v>1</v>
      </c>
      <c r="J1323" s="217">
        <v>109.68</v>
      </c>
      <c r="K1323" s="9">
        <f>J1323*$S$3</f>
        <v>143.6808</v>
      </c>
      <c r="L1323" s="20">
        <v>16.8</v>
      </c>
      <c r="M1323" s="9">
        <f t="shared" si="88"/>
        <v>167.82</v>
      </c>
      <c r="N1323" s="948">
        <v>0</v>
      </c>
      <c r="O1323" s="900">
        <f t="shared" si="90"/>
        <v>1</v>
      </c>
      <c r="P1323" s="901">
        <f t="shared" si="89"/>
        <v>167.82</v>
      </c>
      <c r="Q1323" s="873"/>
      <c r="R1323" s="873"/>
      <c r="S1323" s="840"/>
      <c r="T1323" s="853"/>
    </row>
    <row r="1324" spans="1:20">
      <c r="D1324" s="18" t="s">
        <v>17</v>
      </c>
      <c r="E1324" s="829"/>
      <c r="F1324" s="277"/>
      <c r="G1324" s="61" t="s">
        <v>1629</v>
      </c>
      <c r="H1324" s="281"/>
      <c r="I1324" s="279"/>
      <c r="J1324" s="280"/>
      <c r="K1324" s="280"/>
      <c r="L1324" s="280"/>
      <c r="M1324" s="9"/>
      <c r="N1324" s="926"/>
      <c r="O1324" s="900"/>
      <c r="P1324" s="901"/>
      <c r="Q1324" s="874"/>
      <c r="R1324" s="874"/>
      <c r="S1324" s="841"/>
      <c r="T1324" s="854"/>
    </row>
    <row r="1325" spans="1:20">
      <c r="D1325" s="18" t="s">
        <v>195</v>
      </c>
      <c r="E1325" s="56"/>
      <c r="F1325" s="65"/>
      <c r="G1325" s="61" t="s">
        <v>1628</v>
      </c>
      <c r="H1325" s="18"/>
      <c r="I1325" s="51"/>
      <c r="J1325" s="20"/>
      <c r="K1325" s="20"/>
      <c r="L1325" s="20"/>
      <c r="M1325" s="9"/>
      <c r="N1325" s="926"/>
      <c r="O1325" s="900"/>
      <c r="P1325" s="901"/>
      <c r="Q1325" s="874"/>
      <c r="R1325" s="874"/>
      <c r="S1325" s="841"/>
      <c r="T1325" s="854"/>
    </row>
    <row r="1326" spans="1:20" s="344" customFormat="1" ht="25.5">
      <c r="A1326" s="915"/>
      <c r="B1326" s="919"/>
      <c r="C1326" s="913"/>
      <c r="D1326" s="18" t="s">
        <v>319</v>
      </c>
      <c r="E1326" s="805">
        <f>'[3]Plan Tron'!B417</f>
        <v>9828</v>
      </c>
      <c r="F1326" s="805" t="str">
        <f>'[3]Plan Tron'!C417</f>
        <v>SINAPI (INSUMO)</v>
      </c>
      <c r="G1326" s="643" t="str">
        <f>'[3]Plan Tron'!D417</f>
        <v xml:space="preserve">TUBO PVC DEFOFO, JEI, 1 MPA, DN 150 MM, PARA REDEDE AGUA (NBR 7665) </v>
      </c>
      <c r="H1326" s="805" t="str">
        <f>'[3]Plan Tron'!E417</f>
        <v>M</v>
      </c>
      <c r="I1326" s="51">
        <v>36</v>
      </c>
      <c r="J1326" s="20">
        <f>58.84</f>
        <v>58.84</v>
      </c>
      <c r="K1326" s="20">
        <f>'[3]Plan Tron'!F417</f>
        <v>62</v>
      </c>
      <c r="L1326" s="20">
        <v>16.8</v>
      </c>
      <c r="M1326" s="9">
        <f t="shared" si="88"/>
        <v>72.42</v>
      </c>
      <c r="N1326" s="948">
        <v>0</v>
      </c>
      <c r="O1326" s="900">
        <f t="shared" si="90"/>
        <v>36</v>
      </c>
      <c r="P1326" s="901">
        <f t="shared" si="89"/>
        <v>2607.12</v>
      </c>
      <c r="Q1326" s="874"/>
      <c r="R1326" s="874"/>
      <c r="S1326" s="841"/>
      <c r="T1326" s="854"/>
    </row>
    <row r="1327" spans="1:20">
      <c r="D1327" s="18" t="s">
        <v>16</v>
      </c>
      <c r="E1327" s="829"/>
      <c r="F1327" s="277"/>
      <c r="G1327" s="61" t="s">
        <v>1627</v>
      </c>
      <c r="H1327" s="281"/>
      <c r="I1327" s="279"/>
      <c r="J1327" s="280"/>
      <c r="K1327" s="280"/>
      <c r="L1327" s="280"/>
      <c r="M1327" s="9"/>
      <c r="N1327" s="926"/>
      <c r="O1327" s="900"/>
      <c r="P1327" s="901"/>
      <c r="Q1327" s="874"/>
      <c r="R1327" s="874"/>
      <c r="S1327" s="841"/>
      <c r="T1327" s="854"/>
    </row>
    <row r="1328" spans="1:20">
      <c r="D1328" s="18" t="s">
        <v>270</v>
      </c>
      <c r="E1328" s="56"/>
      <c r="F1328" s="65"/>
      <c r="G1328" s="61" t="s">
        <v>1626</v>
      </c>
      <c r="H1328" s="18"/>
      <c r="I1328" s="51"/>
      <c r="J1328" s="20"/>
      <c r="K1328" s="20"/>
      <c r="L1328" s="20"/>
      <c r="M1328" s="9"/>
      <c r="N1328" s="926"/>
      <c r="O1328" s="900"/>
      <c r="P1328" s="901"/>
      <c r="Q1328" s="874"/>
      <c r="R1328" s="874"/>
      <c r="S1328" s="841"/>
      <c r="T1328" s="854"/>
    </row>
    <row r="1329" spans="1:20" s="610" customFormat="1" ht="25.5">
      <c r="A1329" s="915" t="s">
        <v>2456</v>
      </c>
      <c r="B1329" s="919"/>
      <c r="C1329" s="913"/>
      <c r="D1329" s="18" t="s">
        <v>1625</v>
      </c>
      <c r="E1329" s="820" t="s">
        <v>1623</v>
      </c>
      <c r="F1329" s="87"/>
      <c r="G1329" s="61" t="s">
        <v>1624</v>
      </c>
      <c r="H1329" s="18" t="s">
        <v>110</v>
      </c>
      <c r="I1329" s="51">
        <v>18</v>
      </c>
      <c r="J1329" s="20">
        <v>1526.7</v>
      </c>
      <c r="K1329" s="9">
        <f>J1329*$S$3</f>
        <v>1999.9770000000001</v>
      </c>
      <c r="L1329" s="20">
        <v>16.8</v>
      </c>
      <c r="M1329" s="9">
        <f t="shared" si="88"/>
        <v>2335.9699999999998</v>
      </c>
      <c r="N1329" s="948">
        <v>0</v>
      </c>
      <c r="O1329" s="900">
        <f t="shared" si="90"/>
        <v>18</v>
      </c>
      <c r="P1329" s="901">
        <f t="shared" si="89"/>
        <v>42047.46</v>
      </c>
      <c r="Q1329" s="873"/>
      <c r="R1329" s="873"/>
      <c r="S1329" s="840"/>
      <c r="T1329" s="853"/>
    </row>
    <row r="1330" spans="1:20">
      <c r="D1330" s="18" t="s">
        <v>369</v>
      </c>
      <c r="E1330" s="56"/>
      <c r="F1330" s="65"/>
      <c r="G1330" s="61" t="s">
        <v>522</v>
      </c>
      <c r="H1330" s="18"/>
      <c r="I1330" s="51"/>
      <c r="J1330" s="20"/>
      <c r="K1330" s="20"/>
      <c r="L1330" s="20"/>
      <c r="M1330" s="9"/>
      <c r="N1330" s="926"/>
      <c r="O1330" s="900"/>
      <c r="P1330" s="901"/>
      <c r="Q1330" s="874"/>
      <c r="R1330" s="874"/>
      <c r="S1330" s="841"/>
      <c r="T1330" s="854"/>
    </row>
    <row r="1331" spans="1:20" s="610" customFormat="1" ht="25.5">
      <c r="A1331" s="915" t="s">
        <v>2456</v>
      </c>
      <c r="B1331" s="919"/>
      <c r="C1331" s="913"/>
      <c r="D1331" s="18" t="s">
        <v>1622</v>
      </c>
      <c r="E1331" s="820" t="s">
        <v>1620</v>
      </c>
      <c r="F1331" s="87"/>
      <c r="G1331" s="61" t="s">
        <v>1621</v>
      </c>
      <c r="H1331" s="18" t="s">
        <v>246</v>
      </c>
      <c r="I1331" s="51">
        <v>1</v>
      </c>
      <c r="J1331" s="20">
        <v>1575</v>
      </c>
      <c r="K1331" s="9">
        <f>J1331*$S$3</f>
        <v>2063.25</v>
      </c>
      <c r="L1331" s="20">
        <v>16.8</v>
      </c>
      <c r="M1331" s="9">
        <f t="shared" si="88"/>
        <v>2409.88</v>
      </c>
      <c r="N1331" s="948">
        <v>0</v>
      </c>
      <c r="O1331" s="900">
        <f t="shared" si="90"/>
        <v>1</v>
      </c>
      <c r="P1331" s="901">
        <f t="shared" si="89"/>
        <v>2409.88</v>
      </c>
      <c r="Q1331" s="873"/>
      <c r="R1331" s="873"/>
      <c r="S1331" s="840"/>
      <c r="T1331" s="853"/>
    </row>
    <row r="1332" spans="1:20" s="610" customFormat="1" ht="25.5">
      <c r="A1332" s="915" t="s">
        <v>2456</v>
      </c>
      <c r="B1332" s="919"/>
      <c r="C1332" s="913"/>
      <c r="D1332" s="18" t="s">
        <v>1619</v>
      </c>
      <c r="E1332" s="820" t="s">
        <v>1617</v>
      </c>
      <c r="F1332" s="87"/>
      <c r="G1332" s="61" t="s">
        <v>1618</v>
      </c>
      <c r="H1332" s="18" t="s">
        <v>246</v>
      </c>
      <c r="I1332" s="51">
        <v>1</v>
      </c>
      <c r="J1332" s="20">
        <v>3150</v>
      </c>
      <c r="K1332" s="9">
        <f>J1332*$S$3</f>
        <v>4126.5</v>
      </c>
      <c r="L1332" s="20">
        <v>16.8</v>
      </c>
      <c r="M1332" s="9">
        <f t="shared" si="88"/>
        <v>4819.75</v>
      </c>
      <c r="N1332" s="948">
        <v>0</v>
      </c>
      <c r="O1332" s="900">
        <f t="shared" si="90"/>
        <v>1</v>
      </c>
      <c r="P1332" s="901">
        <f t="shared" si="89"/>
        <v>4819.75</v>
      </c>
      <c r="Q1332" s="873"/>
      <c r="R1332" s="873"/>
      <c r="S1332" s="840"/>
      <c r="T1332" s="853"/>
    </row>
    <row r="1333" spans="1:20" s="610" customFormat="1" ht="25.5">
      <c r="A1333" s="915" t="s">
        <v>2456</v>
      </c>
      <c r="B1333" s="919"/>
      <c r="C1333" s="913"/>
      <c r="D1333" s="18" t="s">
        <v>1616</v>
      </c>
      <c r="E1333" s="820" t="s">
        <v>1614</v>
      </c>
      <c r="F1333" s="87"/>
      <c r="G1333" s="61" t="s">
        <v>1615</v>
      </c>
      <c r="H1333" s="18" t="s">
        <v>246</v>
      </c>
      <c r="I1333" s="51">
        <v>1</v>
      </c>
      <c r="J1333" s="20">
        <v>1751.4</v>
      </c>
      <c r="K1333" s="9">
        <f>J1333*$S$3</f>
        <v>2294.3340000000003</v>
      </c>
      <c r="L1333" s="20">
        <v>16.8</v>
      </c>
      <c r="M1333" s="9">
        <f t="shared" si="88"/>
        <v>2679.78</v>
      </c>
      <c r="N1333" s="948">
        <v>0</v>
      </c>
      <c r="O1333" s="900">
        <f t="shared" si="90"/>
        <v>1</v>
      </c>
      <c r="P1333" s="901">
        <f t="shared" si="89"/>
        <v>2679.78</v>
      </c>
      <c r="Q1333" s="873"/>
      <c r="R1333" s="873"/>
      <c r="S1333" s="840"/>
      <c r="T1333" s="853"/>
    </row>
    <row r="1334" spans="1:20">
      <c r="D1334" s="18" t="s">
        <v>15</v>
      </c>
      <c r="E1334" s="829"/>
      <c r="F1334" s="277"/>
      <c r="G1334" s="114" t="s">
        <v>1613</v>
      </c>
      <c r="H1334" s="281"/>
      <c r="I1334" s="279"/>
      <c r="J1334" s="280"/>
      <c r="K1334" s="280"/>
      <c r="L1334" s="280"/>
      <c r="M1334" s="9"/>
      <c r="N1334" s="926"/>
      <c r="O1334" s="900"/>
      <c r="P1334" s="901"/>
      <c r="Q1334" s="874"/>
      <c r="R1334" s="874"/>
      <c r="S1334" s="841"/>
      <c r="T1334" s="854"/>
    </row>
    <row r="1335" spans="1:20">
      <c r="D1335" s="18" t="s">
        <v>249</v>
      </c>
      <c r="E1335" s="56"/>
      <c r="F1335" s="65"/>
      <c r="G1335" s="114" t="s">
        <v>1612</v>
      </c>
      <c r="H1335" s="18"/>
      <c r="I1335" s="51"/>
      <c r="J1335" s="20"/>
      <c r="K1335" s="20"/>
      <c r="L1335" s="20"/>
      <c r="M1335" s="9"/>
      <c r="N1335" s="926"/>
      <c r="O1335" s="900"/>
      <c r="P1335" s="901"/>
      <c r="Q1335" s="874"/>
      <c r="R1335" s="874"/>
      <c r="S1335" s="841"/>
      <c r="T1335" s="854"/>
    </row>
    <row r="1336" spans="1:20" s="610" customFormat="1">
      <c r="A1336" s="915"/>
      <c r="B1336" s="919" t="s">
        <v>2457</v>
      </c>
      <c r="C1336" s="913"/>
      <c r="D1336" s="18" t="s">
        <v>1611</v>
      </c>
      <c r="E1336" s="820" t="s">
        <v>1925</v>
      </c>
      <c r="F1336" s="87"/>
      <c r="G1336" s="114" t="s">
        <v>1610</v>
      </c>
      <c r="H1336" s="18" t="s">
        <v>1078</v>
      </c>
      <c r="I1336" s="51">
        <v>19</v>
      </c>
      <c r="J1336" s="20">
        <v>199.51</v>
      </c>
      <c r="K1336" s="9">
        <f>J1336*$S$3</f>
        <v>261.35809999999998</v>
      </c>
      <c r="L1336" s="20">
        <v>16.8</v>
      </c>
      <c r="M1336" s="9">
        <f t="shared" si="88"/>
        <v>305.27</v>
      </c>
      <c r="N1336" s="948">
        <v>0</v>
      </c>
      <c r="O1336" s="900">
        <f t="shared" si="90"/>
        <v>19</v>
      </c>
      <c r="P1336" s="901">
        <f t="shared" si="89"/>
        <v>5800.13</v>
      </c>
      <c r="Q1336" s="873"/>
      <c r="R1336" s="873"/>
      <c r="S1336" s="840"/>
      <c r="T1336" s="853"/>
    </row>
    <row r="1337" spans="1:20">
      <c r="D1337" s="18" t="s">
        <v>265</v>
      </c>
      <c r="E1337" s="56"/>
      <c r="F1337" s="65"/>
      <c r="G1337" s="114" t="s">
        <v>700</v>
      </c>
      <c r="H1337" s="18"/>
      <c r="I1337" s="51"/>
      <c r="J1337" s="20"/>
      <c r="K1337" s="20"/>
      <c r="L1337" s="20"/>
      <c r="M1337" s="9"/>
      <c r="N1337" s="926"/>
      <c r="O1337" s="900"/>
      <c r="P1337" s="901"/>
      <c r="Q1337" s="874"/>
      <c r="R1337" s="874"/>
      <c r="S1337" s="841"/>
      <c r="T1337" s="854"/>
    </row>
    <row r="1338" spans="1:20" s="610" customFormat="1">
      <c r="A1338" s="915"/>
      <c r="B1338" s="919" t="s">
        <v>2457</v>
      </c>
      <c r="C1338" s="913"/>
      <c r="D1338" s="18" t="s">
        <v>1609</v>
      </c>
      <c r="E1338" s="832" t="s">
        <v>1926</v>
      </c>
      <c r="F1338" s="217"/>
      <c r="G1338" s="114" t="s">
        <v>1608</v>
      </c>
      <c r="H1338" s="18" t="s">
        <v>246</v>
      </c>
      <c r="I1338" s="51">
        <v>4</v>
      </c>
      <c r="J1338" s="20">
        <v>61.84</v>
      </c>
      <c r="K1338" s="9">
        <f>J1338*$S$3</f>
        <v>81.010400000000004</v>
      </c>
      <c r="L1338" s="20">
        <v>16.8</v>
      </c>
      <c r="M1338" s="9">
        <f t="shared" si="88"/>
        <v>94.62</v>
      </c>
      <c r="N1338" s="948">
        <v>0</v>
      </c>
      <c r="O1338" s="900">
        <f t="shared" si="90"/>
        <v>4</v>
      </c>
      <c r="P1338" s="901">
        <f t="shared" si="89"/>
        <v>378.48</v>
      </c>
      <c r="Q1338" s="873"/>
      <c r="R1338" s="873"/>
      <c r="S1338" s="840"/>
      <c r="T1338" s="853"/>
    </row>
    <row r="1339" spans="1:20" s="610" customFormat="1">
      <c r="A1339" s="915"/>
      <c r="B1339" s="919" t="s">
        <v>2457</v>
      </c>
      <c r="C1339" s="913"/>
      <c r="D1339" s="18" t="s">
        <v>1607</v>
      </c>
      <c r="E1339" s="832" t="s">
        <v>1927</v>
      </c>
      <c r="F1339" s="217"/>
      <c r="G1339" s="114" t="s">
        <v>1606</v>
      </c>
      <c r="H1339" s="18" t="s">
        <v>246</v>
      </c>
      <c r="I1339" s="51">
        <v>2</v>
      </c>
      <c r="J1339" s="20">
        <v>42.88</v>
      </c>
      <c r="K1339" s="9">
        <f>J1339*$S$3</f>
        <v>56.172800000000002</v>
      </c>
      <c r="L1339" s="20">
        <v>16.8</v>
      </c>
      <c r="M1339" s="9">
        <f t="shared" si="88"/>
        <v>65.61</v>
      </c>
      <c r="N1339" s="948">
        <v>0</v>
      </c>
      <c r="O1339" s="900">
        <f t="shared" si="90"/>
        <v>2</v>
      </c>
      <c r="P1339" s="901">
        <f t="shared" si="89"/>
        <v>131.22</v>
      </c>
      <c r="Q1339" s="873"/>
      <c r="R1339" s="873"/>
      <c r="S1339" s="840"/>
      <c r="T1339" s="853"/>
    </row>
    <row r="1340" spans="1:20">
      <c r="D1340" s="18" t="s">
        <v>14</v>
      </c>
      <c r="E1340" s="831"/>
      <c r="F1340" s="282"/>
      <c r="G1340" s="114" t="s">
        <v>1605</v>
      </c>
      <c r="H1340" s="281"/>
      <c r="I1340" s="279"/>
      <c r="J1340" s="280"/>
      <c r="K1340" s="280"/>
      <c r="L1340" s="280"/>
      <c r="M1340" s="9"/>
      <c r="N1340" s="926"/>
      <c r="O1340" s="900"/>
      <c r="P1340" s="901"/>
      <c r="Q1340" s="874"/>
      <c r="R1340" s="874"/>
      <c r="S1340" s="841"/>
      <c r="T1340" s="854"/>
    </row>
    <row r="1341" spans="1:20">
      <c r="D1341" s="18" t="s">
        <v>181</v>
      </c>
      <c r="E1341" s="832"/>
      <c r="F1341" s="217"/>
      <c r="G1341" s="114" t="s">
        <v>1604</v>
      </c>
      <c r="H1341" s="18"/>
      <c r="I1341" s="51"/>
      <c r="J1341" s="20"/>
      <c r="K1341" s="20"/>
      <c r="L1341" s="20"/>
      <c r="M1341" s="9"/>
      <c r="N1341" s="926"/>
      <c r="O1341" s="900"/>
      <c r="P1341" s="901"/>
      <c r="Q1341" s="874"/>
      <c r="R1341" s="874"/>
      <c r="S1341" s="841"/>
      <c r="T1341" s="854"/>
    </row>
    <row r="1342" spans="1:20" s="610" customFormat="1">
      <c r="A1342" s="915" t="s">
        <v>2456</v>
      </c>
      <c r="B1342" s="919"/>
      <c r="C1342" s="913"/>
      <c r="D1342" s="18" t="s">
        <v>1603</v>
      </c>
      <c r="E1342" s="832" t="s">
        <v>1928</v>
      </c>
      <c r="F1342" s="217"/>
      <c r="G1342" s="114" t="s">
        <v>1602</v>
      </c>
      <c r="H1342" s="18" t="s">
        <v>110</v>
      </c>
      <c r="I1342" s="51">
        <v>44</v>
      </c>
      <c r="J1342" s="20">
        <v>1312.58</v>
      </c>
      <c r="K1342" s="9">
        <f>J1342*$S$3</f>
        <v>1719.4798000000001</v>
      </c>
      <c r="L1342" s="20">
        <v>16.8</v>
      </c>
      <c r="M1342" s="9">
        <f t="shared" si="88"/>
        <v>2008.35</v>
      </c>
      <c r="N1342" s="948">
        <v>0</v>
      </c>
      <c r="O1342" s="900">
        <f t="shared" si="90"/>
        <v>44</v>
      </c>
      <c r="P1342" s="901">
        <f t="shared" si="89"/>
        <v>88367.4</v>
      </c>
      <c r="Q1342" s="873"/>
      <c r="R1342" s="873"/>
      <c r="S1342" s="840"/>
      <c r="T1342" s="853"/>
    </row>
    <row r="1343" spans="1:20">
      <c r="D1343" s="18" t="s">
        <v>180</v>
      </c>
      <c r="E1343" s="832"/>
      <c r="F1343" s="217"/>
      <c r="G1343" s="114" t="s">
        <v>522</v>
      </c>
      <c r="H1343" s="18"/>
      <c r="I1343" s="51"/>
      <c r="J1343" s="20"/>
      <c r="K1343" s="20"/>
      <c r="L1343" s="20"/>
      <c r="M1343" s="9"/>
      <c r="N1343" s="926"/>
      <c r="O1343" s="900"/>
      <c r="P1343" s="901"/>
      <c r="Q1343" s="874"/>
      <c r="R1343" s="874"/>
      <c r="S1343" s="841"/>
      <c r="T1343" s="854"/>
    </row>
    <row r="1344" spans="1:20" s="610" customFormat="1" ht="25.5">
      <c r="A1344" s="915" t="s">
        <v>2456</v>
      </c>
      <c r="B1344" s="919"/>
      <c r="C1344" s="913"/>
      <c r="D1344" s="18" t="s">
        <v>1601</v>
      </c>
      <c r="E1344" s="832" t="s">
        <v>1929</v>
      </c>
      <c r="F1344" s="217"/>
      <c r="G1344" s="114" t="s">
        <v>1600</v>
      </c>
      <c r="H1344" s="18" t="s">
        <v>246</v>
      </c>
      <c r="I1344" s="51">
        <v>2</v>
      </c>
      <c r="J1344" s="20">
        <v>1284.73</v>
      </c>
      <c r="K1344" s="9">
        <f>J1344*$S$3</f>
        <v>1682.9963</v>
      </c>
      <c r="L1344" s="20">
        <v>16.8</v>
      </c>
      <c r="M1344" s="9">
        <f t="shared" si="88"/>
        <v>1965.74</v>
      </c>
      <c r="N1344" s="948">
        <v>0</v>
      </c>
      <c r="O1344" s="900">
        <f t="shared" si="90"/>
        <v>2</v>
      </c>
      <c r="P1344" s="901">
        <f t="shared" si="89"/>
        <v>3931.48</v>
      </c>
      <c r="Q1344" s="873"/>
      <c r="R1344" s="873"/>
      <c r="S1344" s="840"/>
      <c r="T1344" s="853"/>
    </row>
    <row r="1345" spans="1:20">
      <c r="D1345" s="18"/>
      <c r="E1345" s="832"/>
      <c r="F1345" s="217"/>
      <c r="G1345" s="114"/>
      <c r="H1345" s="18"/>
      <c r="I1345" s="51"/>
      <c r="J1345" s="20"/>
      <c r="K1345" s="20"/>
      <c r="L1345" s="20"/>
      <c r="M1345" s="9"/>
      <c r="N1345" s="926"/>
      <c r="O1345" s="900"/>
      <c r="P1345" s="901"/>
      <c r="Q1345" s="874"/>
      <c r="R1345" s="874"/>
      <c r="S1345" s="841"/>
      <c r="T1345" s="854"/>
    </row>
    <row r="1346" spans="1:20">
      <c r="D1346" s="18"/>
      <c r="E1346" s="832"/>
      <c r="F1346" s="217"/>
      <c r="G1346" s="114"/>
      <c r="H1346" s="18"/>
      <c r="I1346" s="51"/>
      <c r="J1346" s="20"/>
      <c r="K1346" s="20"/>
      <c r="L1346" s="20"/>
      <c r="M1346" s="9"/>
      <c r="N1346" s="926"/>
      <c r="O1346" s="900"/>
      <c r="P1346" s="901"/>
      <c r="Q1346" s="874"/>
      <c r="R1346" s="874"/>
      <c r="S1346" s="841"/>
      <c r="T1346" s="854"/>
    </row>
    <row r="1347" spans="1:20">
      <c r="D1347" s="18" t="s">
        <v>13</v>
      </c>
      <c r="E1347" s="830"/>
      <c r="F1347" s="83"/>
      <c r="G1347" s="116" t="s">
        <v>1599</v>
      </c>
      <c r="H1347" s="22"/>
      <c r="I1347" s="51"/>
      <c r="J1347" s="20"/>
      <c r="K1347" s="20"/>
      <c r="L1347" s="20"/>
      <c r="M1347" s="9"/>
      <c r="N1347" s="926"/>
      <c r="O1347" s="900"/>
      <c r="P1347" s="901"/>
      <c r="Q1347" s="874"/>
      <c r="R1347" s="874"/>
      <c r="S1347" s="841"/>
      <c r="T1347" s="854"/>
    </row>
    <row r="1348" spans="1:20">
      <c r="D1348" s="239" t="s">
        <v>167</v>
      </c>
      <c r="E1348" s="606"/>
      <c r="F1348" s="235"/>
      <c r="G1348" s="113" t="s">
        <v>1598</v>
      </c>
      <c r="H1348" s="240"/>
      <c r="I1348" s="241"/>
      <c r="J1348" s="242"/>
      <c r="K1348" s="242"/>
      <c r="L1348" s="242"/>
      <c r="M1348" s="9"/>
      <c r="N1348" s="926"/>
      <c r="O1348" s="900"/>
      <c r="P1348" s="901"/>
      <c r="Q1348" s="874"/>
      <c r="R1348" s="874"/>
      <c r="S1348" s="841"/>
      <c r="T1348" s="854"/>
    </row>
    <row r="1349" spans="1:20" s="610" customFormat="1" ht="25.5">
      <c r="A1349" s="915"/>
      <c r="B1349" s="919" t="s">
        <v>2457</v>
      </c>
      <c r="C1349" s="913"/>
      <c r="D1349" s="239" t="s">
        <v>1573</v>
      </c>
      <c r="E1349" s="606" t="s">
        <v>1862</v>
      </c>
      <c r="F1349" s="235"/>
      <c r="G1349" s="113" t="s">
        <v>1597</v>
      </c>
      <c r="H1349" s="240" t="s">
        <v>110</v>
      </c>
      <c r="I1349" s="241">
        <v>51</v>
      </c>
      <c r="J1349" s="235">
        <v>24</v>
      </c>
      <c r="K1349" s="9">
        <f>J1349*$S$3</f>
        <v>31.44</v>
      </c>
      <c r="L1349" s="242">
        <v>16.8</v>
      </c>
      <c r="M1349" s="9">
        <f t="shared" si="88"/>
        <v>36.72</v>
      </c>
      <c r="N1349" s="948">
        <v>0</v>
      </c>
      <c r="O1349" s="900">
        <f t="shared" si="90"/>
        <v>51</v>
      </c>
      <c r="P1349" s="901">
        <f t="shared" si="89"/>
        <v>1872.72</v>
      </c>
      <c r="Q1349" s="873"/>
      <c r="R1349" s="873"/>
      <c r="S1349" s="840"/>
      <c r="T1349" s="853"/>
    </row>
    <row r="1350" spans="1:20" s="610" customFormat="1" ht="25.5">
      <c r="A1350" s="915"/>
      <c r="B1350" s="919" t="s">
        <v>2457</v>
      </c>
      <c r="C1350" s="913"/>
      <c r="D1350" s="239" t="s">
        <v>1596</v>
      </c>
      <c r="E1350" s="606" t="s">
        <v>1864</v>
      </c>
      <c r="F1350" s="235"/>
      <c r="G1350" s="113" t="s">
        <v>1595</v>
      </c>
      <c r="H1350" s="240" t="s">
        <v>110</v>
      </c>
      <c r="I1350" s="241">
        <v>2</v>
      </c>
      <c r="J1350" s="235">
        <v>43</v>
      </c>
      <c r="K1350" s="9">
        <f>J1350*$S$3</f>
        <v>56.330000000000005</v>
      </c>
      <c r="L1350" s="242">
        <v>16.8</v>
      </c>
      <c r="M1350" s="9">
        <f t="shared" si="88"/>
        <v>65.790000000000006</v>
      </c>
      <c r="N1350" s="948">
        <v>0</v>
      </c>
      <c r="O1350" s="900">
        <f t="shared" si="90"/>
        <v>2</v>
      </c>
      <c r="P1350" s="901">
        <f t="shared" si="89"/>
        <v>131.58000000000001</v>
      </c>
      <c r="Q1350" s="873"/>
      <c r="R1350" s="873"/>
      <c r="S1350" s="840"/>
      <c r="T1350" s="853"/>
    </row>
    <row r="1351" spans="1:20">
      <c r="D1351" s="239" t="s">
        <v>166</v>
      </c>
      <c r="E1351" s="606"/>
      <c r="F1351" s="235"/>
      <c r="G1351" s="113" t="s">
        <v>1594</v>
      </c>
      <c r="H1351" s="240"/>
      <c r="I1351" s="241"/>
      <c r="J1351" s="235"/>
      <c r="K1351" s="235"/>
      <c r="L1351" s="242"/>
      <c r="M1351" s="9"/>
      <c r="N1351" s="926"/>
      <c r="O1351" s="900"/>
      <c r="P1351" s="901"/>
      <c r="Q1351" s="874"/>
      <c r="R1351" s="874"/>
      <c r="S1351" s="841"/>
      <c r="T1351" s="854"/>
    </row>
    <row r="1352" spans="1:20" s="610" customFormat="1" ht="25.5">
      <c r="A1352" s="915"/>
      <c r="B1352" s="919" t="s">
        <v>2457</v>
      </c>
      <c r="C1352" s="913"/>
      <c r="D1352" s="239" t="s">
        <v>1593</v>
      </c>
      <c r="E1352" s="606" t="s">
        <v>1865</v>
      </c>
      <c r="F1352" s="235"/>
      <c r="G1352" s="113" t="s">
        <v>1592</v>
      </c>
      <c r="H1352" s="240" t="s">
        <v>246</v>
      </c>
      <c r="I1352" s="241">
        <v>9</v>
      </c>
      <c r="J1352" s="235">
        <v>5</v>
      </c>
      <c r="K1352" s="9">
        <f t="shared" ref="K1352:K1357" si="91">J1352*$S$3</f>
        <v>6.5500000000000007</v>
      </c>
      <c r="L1352" s="242">
        <v>16.8</v>
      </c>
      <c r="M1352" s="9">
        <f t="shared" si="88"/>
        <v>7.65</v>
      </c>
      <c r="N1352" s="948">
        <v>0</v>
      </c>
      <c r="O1352" s="900">
        <f t="shared" si="90"/>
        <v>9</v>
      </c>
      <c r="P1352" s="901">
        <f t="shared" si="89"/>
        <v>68.849999999999994</v>
      </c>
      <c r="Q1352" s="873"/>
      <c r="R1352" s="873"/>
      <c r="S1352" s="840"/>
      <c r="T1352" s="853"/>
    </row>
    <row r="1353" spans="1:20" s="610" customFormat="1" ht="25.5">
      <c r="A1353" s="915"/>
      <c r="B1353" s="919" t="s">
        <v>2457</v>
      </c>
      <c r="C1353" s="913"/>
      <c r="D1353" s="239" t="s">
        <v>1591</v>
      </c>
      <c r="E1353" s="606" t="s">
        <v>1930</v>
      </c>
      <c r="F1353" s="235"/>
      <c r="G1353" s="113" t="s">
        <v>1590</v>
      </c>
      <c r="H1353" s="240" t="s">
        <v>246</v>
      </c>
      <c r="I1353" s="241">
        <v>2</v>
      </c>
      <c r="J1353" s="235">
        <v>5</v>
      </c>
      <c r="K1353" s="9">
        <f t="shared" si="91"/>
        <v>6.5500000000000007</v>
      </c>
      <c r="L1353" s="242">
        <v>16.8</v>
      </c>
      <c r="M1353" s="9">
        <f t="shared" si="88"/>
        <v>7.65</v>
      </c>
      <c r="N1353" s="948">
        <v>0</v>
      </c>
      <c r="O1353" s="900">
        <f t="shared" si="90"/>
        <v>2</v>
      </c>
      <c r="P1353" s="901">
        <f t="shared" si="89"/>
        <v>15.3</v>
      </c>
      <c r="Q1353" s="873"/>
      <c r="R1353" s="873"/>
      <c r="S1353" s="840"/>
      <c r="T1353" s="853"/>
    </row>
    <row r="1354" spans="1:20" s="610" customFormat="1">
      <c r="A1354" s="915"/>
      <c r="B1354" s="919" t="s">
        <v>2457</v>
      </c>
      <c r="C1354" s="913"/>
      <c r="D1354" s="239" t="s">
        <v>1589</v>
      </c>
      <c r="E1354" s="606" t="s">
        <v>1869</v>
      </c>
      <c r="F1354" s="235"/>
      <c r="G1354" s="113" t="s">
        <v>1588</v>
      </c>
      <c r="H1354" s="240" t="s">
        <v>246</v>
      </c>
      <c r="I1354" s="241">
        <v>4</v>
      </c>
      <c r="J1354" s="242">
        <v>2.15</v>
      </c>
      <c r="K1354" s="9">
        <f t="shared" si="91"/>
        <v>2.8165</v>
      </c>
      <c r="L1354" s="242">
        <v>16.8</v>
      </c>
      <c r="M1354" s="9">
        <f t="shared" si="88"/>
        <v>3.29</v>
      </c>
      <c r="N1354" s="948">
        <v>0</v>
      </c>
      <c r="O1354" s="900">
        <f t="shared" si="90"/>
        <v>4</v>
      </c>
      <c r="P1354" s="901">
        <f t="shared" si="89"/>
        <v>13.16</v>
      </c>
      <c r="Q1354" s="873"/>
      <c r="R1354" s="873"/>
      <c r="S1354" s="840"/>
      <c r="T1354" s="853"/>
    </row>
    <row r="1355" spans="1:20" s="610" customFormat="1" ht="25.5">
      <c r="A1355" s="915"/>
      <c r="B1355" s="919" t="s">
        <v>2457</v>
      </c>
      <c r="C1355" s="913"/>
      <c r="D1355" s="239" t="s">
        <v>1587</v>
      </c>
      <c r="E1355" s="606" t="s">
        <v>1931</v>
      </c>
      <c r="F1355" s="235"/>
      <c r="G1355" s="113" t="s">
        <v>1586</v>
      </c>
      <c r="H1355" s="240" t="s">
        <v>246</v>
      </c>
      <c r="I1355" s="241">
        <v>4</v>
      </c>
      <c r="J1355" s="235">
        <v>8.61</v>
      </c>
      <c r="K1355" s="9">
        <f t="shared" si="91"/>
        <v>11.2791</v>
      </c>
      <c r="L1355" s="242">
        <v>16.8</v>
      </c>
      <c r="M1355" s="9">
        <f t="shared" si="88"/>
        <v>13.17</v>
      </c>
      <c r="N1355" s="948">
        <v>0</v>
      </c>
      <c r="O1355" s="900">
        <f t="shared" si="90"/>
        <v>4</v>
      </c>
      <c r="P1355" s="901">
        <f t="shared" si="89"/>
        <v>52.68</v>
      </c>
      <c r="Q1355" s="873"/>
      <c r="R1355" s="873"/>
      <c r="S1355" s="840"/>
      <c r="T1355" s="853"/>
    </row>
    <row r="1356" spans="1:20" s="610" customFormat="1" ht="25.5">
      <c r="A1356" s="915"/>
      <c r="B1356" s="919" t="s">
        <v>2457</v>
      </c>
      <c r="C1356" s="913"/>
      <c r="D1356" s="239" t="s">
        <v>1585</v>
      </c>
      <c r="E1356" s="606" t="s">
        <v>1873</v>
      </c>
      <c r="F1356" s="235"/>
      <c r="G1356" s="113" t="s">
        <v>1584</v>
      </c>
      <c r="H1356" s="240" t="s">
        <v>246</v>
      </c>
      <c r="I1356" s="241">
        <v>2</v>
      </c>
      <c r="J1356" s="235">
        <v>9.81</v>
      </c>
      <c r="K1356" s="9">
        <f t="shared" si="91"/>
        <v>12.851100000000001</v>
      </c>
      <c r="L1356" s="242">
        <v>16.8</v>
      </c>
      <c r="M1356" s="9">
        <f t="shared" si="88"/>
        <v>15.01</v>
      </c>
      <c r="N1356" s="948">
        <v>0</v>
      </c>
      <c r="O1356" s="900">
        <f t="shared" si="90"/>
        <v>2</v>
      </c>
      <c r="P1356" s="901">
        <f t="shared" si="89"/>
        <v>30.02</v>
      </c>
      <c r="Q1356" s="873"/>
      <c r="R1356" s="873"/>
      <c r="S1356" s="840"/>
      <c r="T1356" s="853"/>
    </row>
    <row r="1357" spans="1:20" s="610" customFormat="1" ht="25.5">
      <c r="A1357" s="915"/>
      <c r="B1357" s="919" t="s">
        <v>2457</v>
      </c>
      <c r="C1357" s="913"/>
      <c r="D1357" s="239" t="s">
        <v>1583</v>
      </c>
      <c r="E1357" s="606" t="s">
        <v>1866</v>
      </c>
      <c r="F1357" s="235"/>
      <c r="G1357" s="113" t="s">
        <v>1582</v>
      </c>
      <c r="H1357" s="240" t="s">
        <v>246</v>
      </c>
      <c r="I1357" s="241">
        <v>2</v>
      </c>
      <c r="J1357" s="235">
        <v>18</v>
      </c>
      <c r="K1357" s="9">
        <f t="shared" si="91"/>
        <v>23.580000000000002</v>
      </c>
      <c r="L1357" s="242">
        <v>16.8</v>
      </c>
      <c r="M1357" s="9">
        <f t="shared" si="88"/>
        <v>27.54</v>
      </c>
      <c r="N1357" s="948">
        <v>0</v>
      </c>
      <c r="O1357" s="900">
        <f t="shared" si="90"/>
        <v>2</v>
      </c>
      <c r="P1357" s="901">
        <f t="shared" si="89"/>
        <v>55.08</v>
      </c>
      <c r="Q1357" s="873"/>
      <c r="R1357" s="873"/>
      <c r="S1357" s="840"/>
      <c r="T1357" s="853"/>
    </row>
    <row r="1358" spans="1:20">
      <c r="D1358" s="239" t="s">
        <v>165</v>
      </c>
      <c r="E1358" s="606"/>
      <c r="F1358" s="235"/>
      <c r="G1358" s="113" t="s">
        <v>703</v>
      </c>
      <c r="H1358" s="240"/>
      <c r="I1358" s="241"/>
      <c r="J1358" s="235"/>
      <c r="K1358" s="235"/>
      <c r="L1358" s="242"/>
      <c r="M1358" s="9"/>
      <c r="N1358" s="926"/>
      <c r="O1358" s="900"/>
      <c r="P1358" s="901"/>
      <c r="Q1358" s="874"/>
      <c r="R1358" s="874"/>
      <c r="S1358" s="841"/>
      <c r="T1358" s="854"/>
    </row>
    <row r="1359" spans="1:20" s="344" customFormat="1" ht="25.5">
      <c r="A1359" s="915"/>
      <c r="B1359" s="919"/>
      <c r="C1359" s="913"/>
      <c r="D1359" s="239" t="s">
        <v>1581</v>
      </c>
      <c r="E1359" s="805">
        <f>'[3]Plan Tron'!B418</f>
        <v>9867</v>
      </c>
      <c r="F1359" s="805" t="str">
        <f>'[3]Plan Tron'!C418</f>
        <v>SINAPI (INSUMO)</v>
      </c>
      <c r="G1359" s="643" t="str">
        <f>'[3]Plan Tron'!D418</f>
        <v xml:space="preserve">TUBO PVC, SOLDAVEL, DN 20 MM, AGUA FRIA (NBR-5648) </v>
      </c>
      <c r="H1359" s="805" t="str">
        <f>'[3]Plan Tron'!E418</f>
        <v>M</v>
      </c>
      <c r="I1359" s="241">
        <v>181</v>
      </c>
      <c r="J1359" s="235">
        <v>1.89</v>
      </c>
      <c r="K1359" s="235">
        <f>'[3]Plan Tron'!F418</f>
        <v>2.04</v>
      </c>
      <c r="L1359" s="242">
        <v>16.8</v>
      </c>
      <c r="M1359" s="9">
        <f t="shared" si="88"/>
        <v>2.38</v>
      </c>
      <c r="N1359" s="948">
        <v>0</v>
      </c>
      <c r="O1359" s="900">
        <f t="shared" si="90"/>
        <v>181</v>
      </c>
      <c r="P1359" s="901">
        <f t="shared" si="89"/>
        <v>430.78</v>
      </c>
      <c r="Q1359" s="874"/>
      <c r="R1359" s="874"/>
      <c r="S1359" s="841"/>
      <c r="T1359" s="854"/>
    </row>
    <row r="1360" spans="1:20">
      <c r="D1360" s="239" t="s">
        <v>164</v>
      </c>
      <c r="E1360" s="824"/>
      <c r="F1360" s="243"/>
      <c r="G1360" s="113" t="s">
        <v>1580</v>
      </c>
      <c r="H1360" s="240"/>
      <c r="I1360" s="241"/>
      <c r="J1360" s="235"/>
      <c r="K1360" s="235"/>
      <c r="L1360" s="242"/>
      <c r="M1360" s="9"/>
      <c r="N1360" s="926"/>
      <c r="O1360" s="900"/>
      <c r="P1360" s="901"/>
      <c r="Q1360" s="874"/>
      <c r="R1360" s="874"/>
      <c r="S1360" s="841"/>
      <c r="T1360" s="854"/>
    </row>
    <row r="1361" spans="1:20" s="344" customFormat="1" ht="25.5">
      <c r="A1361" s="915"/>
      <c r="B1361" s="919"/>
      <c r="C1361" s="913"/>
      <c r="D1361" s="239" t="s">
        <v>1579</v>
      </c>
      <c r="E1361" s="805">
        <f>'[3]Plan Tron'!B419</f>
        <v>1955</v>
      </c>
      <c r="F1361" s="805" t="str">
        <f>'[3]Plan Tron'!C419</f>
        <v>SINAPI (INSUMO)</v>
      </c>
      <c r="G1361" s="643" t="str">
        <f>'[3]Plan Tron'!D419</f>
        <v xml:space="preserve">CURVA DE PVC 90 GRAUS, SOLDAVEL, 20 MM, PARA AGUA FRIA PREDIAL (NBR 5648) </v>
      </c>
      <c r="H1361" s="805" t="str">
        <f>'[3]Plan Tron'!E419</f>
        <v xml:space="preserve">UN </v>
      </c>
      <c r="I1361" s="241">
        <v>14</v>
      </c>
      <c r="J1361" s="235">
        <v>1.33</v>
      </c>
      <c r="K1361" s="235">
        <f>'[3]Plan Tron'!F419</f>
        <v>1.42</v>
      </c>
      <c r="L1361" s="242">
        <v>16.8</v>
      </c>
      <c r="M1361" s="9">
        <f t="shared" ref="M1361:M1424" si="92">ROUND(K1361*(L1361/100+1),2)</f>
        <v>1.66</v>
      </c>
      <c r="N1361" s="948">
        <v>0</v>
      </c>
      <c r="O1361" s="900">
        <f t="shared" si="90"/>
        <v>14</v>
      </c>
      <c r="P1361" s="901">
        <f t="shared" ref="P1361:P1424" si="93">ROUND(O1361*M1361,2)</f>
        <v>23.24</v>
      </c>
      <c r="Q1361" s="874"/>
      <c r="R1361" s="874"/>
      <c r="S1361" s="841"/>
      <c r="T1361" s="854"/>
    </row>
    <row r="1362" spans="1:20" s="344" customFormat="1" ht="25.5">
      <c r="A1362" s="915"/>
      <c r="B1362" s="919"/>
      <c r="C1362" s="913"/>
      <c r="D1362" s="239" t="s">
        <v>1578</v>
      </c>
      <c r="E1362" s="805">
        <f>'[3]Plan Tron'!B420</f>
        <v>1926</v>
      </c>
      <c r="F1362" s="805" t="str">
        <f>'[3]Plan Tron'!C420</f>
        <v>SINAPI (INSUMO)</v>
      </c>
      <c r="G1362" s="643" t="str">
        <f>'[3]Plan Tron'!D420</f>
        <v xml:space="preserve">CURVA DE PVC 45 GRAUS, SOLDAVEL, 20 MM, PARA AGUA FRIA PREDIAL (NBR 5648) </v>
      </c>
      <c r="H1362" s="805" t="str">
        <f>'[3]Plan Tron'!E420</f>
        <v xml:space="preserve">UN </v>
      </c>
      <c r="I1362" s="241">
        <v>4</v>
      </c>
      <c r="J1362" s="235">
        <v>0.51</v>
      </c>
      <c r="K1362" s="235">
        <f>'[3]Plan Tron'!F420</f>
        <v>1.35</v>
      </c>
      <c r="L1362" s="242">
        <v>16.8</v>
      </c>
      <c r="M1362" s="9">
        <f t="shared" si="92"/>
        <v>1.58</v>
      </c>
      <c r="N1362" s="948">
        <v>0</v>
      </c>
      <c r="O1362" s="900">
        <f t="shared" si="90"/>
        <v>4</v>
      </c>
      <c r="P1362" s="901">
        <f t="shared" si="93"/>
        <v>6.32</v>
      </c>
      <c r="Q1362" s="874"/>
      <c r="R1362" s="874"/>
      <c r="S1362" s="841"/>
      <c r="T1362" s="854"/>
    </row>
    <row r="1363" spans="1:20" s="344" customFormat="1" ht="25.5">
      <c r="A1363" s="915"/>
      <c r="B1363" s="919"/>
      <c r="C1363" s="913"/>
      <c r="D1363" s="239" t="s">
        <v>1577</v>
      </c>
      <c r="E1363" s="805">
        <f>'[3]Plan Tron'!B421</f>
        <v>3859</v>
      </c>
      <c r="F1363" s="805" t="str">
        <f>'[3]Plan Tron'!C421</f>
        <v>SINAPI (INSUMO)</v>
      </c>
      <c r="G1363" s="643" t="str">
        <f>'[3]Plan Tron'!D421</f>
        <v xml:space="preserve">LUVA SOLDAVEL COM ROSCA, PVC, 20 MM X 1/2", PARA AGUA FRIA PREDIAL </v>
      </c>
      <c r="H1363" s="805" t="str">
        <f>'[3]Plan Tron'!E421</f>
        <v xml:space="preserve">UN </v>
      </c>
      <c r="I1363" s="241">
        <v>2</v>
      </c>
      <c r="J1363" s="235">
        <v>0.66</v>
      </c>
      <c r="K1363" s="235">
        <f>'[3]Plan Tron'!F421</f>
        <v>0.85</v>
      </c>
      <c r="L1363" s="242">
        <v>16.8</v>
      </c>
      <c r="M1363" s="9">
        <f t="shared" si="92"/>
        <v>0.99</v>
      </c>
      <c r="N1363" s="948">
        <v>0</v>
      </c>
      <c r="O1363" s="900">
        <f t="shared" si="90"/>
        <v>2</v>
      </c>
      <c r="P1363" s="901">
        <f t="shared" si="93"/>
        <v>1.98</v>
      </c>
      <c r="Q1363" s="874"/>
      <c r="R1363" s="874"/>
      <c r="S1363" s="841"/>
      <c r="T1363" s="854"/>
    </row>
    <row r="1364" spans="1:20" s="344" customFormat="1" ht="25.5">
      <c r="A1364" s="915"/>
      <c r="B1364" s="919"/>
      <c r="C1364" s="913"/>
      <c r="D1364" s="239" t="s">
        <v>1576</v>
      </c>
      <c r="E1364" s="805">
        <f>'[3]Plan Tron'!B422</f>
        <v>3855</v>
      </c>
      <c r="F1364" s="805" t="str">
        <f>'[3]Plan Tron'!C422</f>
        <v>SINAPI (INSUMO)</v>
      </c>
      <c r="G1364" s="643" t="str">
        <f>'[3]Plan Tron'!D422</f>
        <v xml:space="preserve">LUVA SOLDAVEL COM BUCHA DE LATAO, PVC, 20 MM X 1/2" </v>
      </c>
      <c r="H1364" s="805" t="str">
        <f>'[3]Plan Tron'!E422</f>
        <v xml:space="preserve">UN </v>
      </c>
      <c r="I1364" s="241">
        <v>2</v>
      </c>
      <c r="J1364" s="242">
        <v>3.19</v>
      </c>
      <c r="K1364" s="235">
        <f>'[3]Plan Tron'!F422</f>
        <v>3.49</v>
      </c>
      <c r="L1364" s="242">
        <v>16.8</v>
      </c>
      <c r="M1364" s="9">
        <f t="shared" si="92"/>
        <v>4.08</v>
      </c>
      <c r="N1364" s="948">
        <v>0</v>
      </c>
      <c r="O1364" s="900">
        <f t="shared" si="90"/>
        <v>2</v>
      </c>
      <c r="P1364" s="901">
        <f t="shared" si="93"/>
        <v>8.16</v>
      </c>
      <c r="Q1364" s="874"/>
      <c r="R1364" s="874"/>
      <c r="S1364" s="841"/>
      <c r="T1364" s="854"/>
    </row>
    <row r="1365" spans="1:20">
      <c r="D1365" s="239"/>
      <c r="E1365" s="606"/>
      <c r="F1365" s="235"/>
      <c r="G1365" s="113"/>
      <c r="H1365" s="240"/>
      <c r="I1365" s="241"/>
      <c r="J1365" s="242"/>
      <c r="K1365" s="242"/>
      <c r="L1365" s="242"/>
      <c r="M1365" s="9"/>
      <c r="N1365" s="926"/>
      <c r="O1365" s="900"/>
      <c r="P1365" s="901"/>
      <c r="Q1365" s="874"/>
      <c r="R1365" s="874"/>
      <c r="S1365" s="841"/>
      <c r="T1365" s="854"/>
    </row>
    <row r="1366" spans="1:20">
      <c r="D1366" s="18" t="s">
        <v>12</v>
      </c>
      <c r="E1366" s="606"/>
      <c r="F1366" s="235"/>
      <c r="G1366" s="114" t="s">
        <v>1575</v>
      </c>
      <c r="H1366" s="18"/>
      <c r="I1366" s="241"/>
      <c r="J1366" s="20"/>
      <c r="K1366" s="20"/>
      <c r="L1366" s="20"/>
      <c r="M1366" s="9"/>
      <c r="N1366" s="926"/>
      <c r="O1366" s="900"/>
      <c r="P1366" s="901"/>
      <c r="Q1366" s="874"/>
      <c r="R1366" s="874"/>
      <c r="S1366" s="841"/>
      <c r="T1366" s="854"/>
    </row>
    <row r="1367" spans="1:20">
      <c r="D1367" s="18" t="s">
        <v>167</v>
      </c>
      <c r="E1367" s="56"/>
      <c r="F1367" s="65"/>
      <c r="G1367" s="114" t="s">
        <v>1574</v>
      </c>
      <c r="H1367" s="18"/>
      <c r="I1367" s="241"/>
      <c r="J1367" s="20"/>
      <c r="K1367" s="20"/>
      <c r="L1367" s="20"/>
      <c r="M1367" s="9"/>
      <c r="N1367" s="926"/>
      <c r="O1367" s="900"/>
      <c r="P1367" s="901"/>
      <c r="Q1367" s="874"/>
      <c r="R1367" s="874"/>
      <c r="S1367" s="841"/>
      <c r="T1367" s="854"/>
    </row>
    <row r="1368" spans="1:20" s="344" customFormat="1" ht="25.5">
      <c r="A1368" s="915"/>
      <c r="B1368" s="919"/>
      <c r="C1368" s="913"/>
      <c r="D1368" s="18" t="s">
        <v>1573</v>
      </c>
      <c r="E1368" s="805">
        <f>'[3]Plan Tron'!B423</f>
        <v>21090</v>
      </c>
      <c r="F1368" s="805" t="str">
        <f>'[3]Plan Tron'!C423</f>
        <v>SINAPI (INSUMO)</v>
      </c>
      <c r="G1368" s="643" t="str">
        <f>'[3]Plan Tron'!D423</f>
        <v>TAMPAO FOFO ARTICULADO, CLASSE D400 CARGA MAX 40 T, REDONDO TAMPA *600 MM, REDE PLUVIAL/ESGOTO</v>
      </c>
      <c r="H1368" s="805" t="str">
        <f>'[3]Plan Tron'!E423</f>
        <v xml:space="preserve">UN </v>
      </c>
      <c r="I1368" s="241">
        <v>8</v>
      </c>
      <c r="J1368" s="20">
        <v>481.4</v>
      </c>
      <c r="K1368" s="20">
        <f>'[3]Plan Tron'!F423</f>
        <v>411.39</v>
      </c>
      <c r="L1368" s="20">
        <v>16.8</v>
      </c>
      <c r="M1368" s="9">
        <f t="shared" si="92"/>
        <v>480.5</v>
      </c>
      <c r="N1368" s="948">
        <v>0</v>
      </c>
      <c r="O1368" s="900">
        <f t="shared" si="90"/>
        <v>8</v>
      </c>
      <c r="P1368" s="901">
        <f t="shared" si="93"/>
        <v>3844</v>
      </c>
      <c r="Q1368" s="874"/>
      <c r="R1368" s="874"/>
      <c r="S1368" s="841"/>
      <c r="T1368" s="854"/>
    </row>
    <row r="1369" spans="1:20">
      <c r="D1369" s="18"/>
      <c r="E1369" s="830"/>
      <c r="F1369" s="83"/>
      <c r="G1369" s="159"/>
      <c r="H1369" s="18"/>
      <c r="I1369" s="51"/>
      <c r="J1369" s="20"/>
      <c r="K1369" s="20"/>
      <c r="L1369" s="20"/>
      <c r="M1369" s="9"/>
      <c r="N1369" s="926"/>
      <c r="O1369" s="900"/>
      <c r="P1369" s="901"/>
      <c r="Q1369" s="874"/>
      <c r="R1369" s="874"/>
      <c r="S1369" s="841"/>
      <c r="T1369" s="854"/>
    </row>
    <row r="1370" spans="1:20">
      <c r="D1370" s="18"/>
      <c r="E1370" s="830"/>
      <c r="F1370" s="83"/>
      <c r="G1370" s="127"/>
      <c r="H1370" s="22"/>
      <c r="I1370" s="51"/>
      <c r="J1370" s="20"/>
      <c r="K1370" s="20"/>
      <c r="L1370" s="20"/>
      <c r="M1370" s="9"/>
      <c r="N1370" s="936"/>
      <c r="O1370" s="900"/>
      <c r="P1370" s="901"/>
      <c r="Q1370" s="874"/>
      <c r="R1370" s="874"/>
      <c r="S1370" s="841"/>
      <c r="T1370" s="854"/>
    </row>
    <row r="1371" spans="1:20" s="299" customFormat="1">
      <c r="A1371" s="918"/>
      <c r="B1371" s="922"/>
      <c r="C1371" s="924"/>
      <c r="D1371" s="929"/>
      <c r="E1371" s="930"/>
      <c r="F1371" s="929"/>
      <c r="G1371" s="930" t="s">
        <v>70</v>
      </c>
      <c r="H1371" s="929">
        <f>D1291</f>
        <v>27</v>
      </c>
      <c r="I1371" s="929"/>
      <c r="J1371" s="929"/>
      <c r="K1371" s="929"/>
      <c r="L1371" s="929"/>
      <c r="M1371" s="9"/>
      <c r="N1371" s="937"/>
      <c r="O1371" s="900"/>
      <c r="P1371" s="901">
        <f>SUM(P1298:P1368)</f>
        <v>301324.2099999999</v>
      </c>
      <c r="Q1371" s="874"/>
      <c r="R1371" s="874"/>
      <c r="S1371" s="841"/>
      <c r="T1371" s="854"/>
    </row>
    <row r="1372" spans="1:20">
      <c r="D1372" s="44"/>
      <c r="E1372" s="296"/>
      <c r="F1372" s="44"/>
      <c r="G1372" s="44"/>
      <c r="H1372" s="44"/>
      <c r="I1372" s="44"/>
      <c r="J1372" s="302"/>
      <c r="K1372" s="302"/>
      <c r="L1372" s="44"/>
      <c r="M1372" s="9"/>
      <c r="N1372" s="375"/>
      <c r="O1372" s="789"/>
      <c r="P1372" s="863"/>
      <c r="Q1372" s="874"/>
      <c r="R1372" s="874"/>
      <c r="S1372" s="841"/>
      <c r="T1372" s="854"/>
    </row>
    <row r="1373" spans="1:20" s="310" customFormat="1">
      <c r="A1373" s="915"/>
      <c r="B1373" s="919"/>
      <c r="C1373" s="913"/>
      <c r="D1373" s="108">
        <v>30</v>
      </c>
      <c r="E1373" s="813"/>
      <c r="F1373" s="109"/>
      <c r="G1373" s="108" t="s">
        <v>1981</v>
      </c>
      <c r="H1373" s="109"/>
      <c r="I1373" s="109"/>
      <c r="J1373" s="109"/>
      <c r="K1373" s="109"/>
      <c r="L1373" s="109"/>
      <c r="M1373" s="791"/>
      <c r="N1373" s="378"/>
      <c r="O1373" s="792"/>
      <c r="P1373" s="864"/>
      <c r="Q1373" s="872"/>
      <c r="R1373" s="872"/>
      <c r="S1373" s="842"/>
      <c r="T1373" s="852"/>
    </row>
    <row r="1374" spans="1:20" s="310" customFormat="1">
      <c r="A1374" s="915"/>
      <c r="B1374" s="919"/>
      <c r="C1374" s="913"/>
      <c r="D1374" s="108" t="s">
        <v>28</v>
      </c>
      <c r="E1374" s="813"/>
      <c r="F1374" s="109"/>
      <c r="G1374" s="108" t="s">
        <v>1981</v>
      </c>
      <c r="H1374" s="109"/>
      <c r="I1374" s="109"/>
      <c r="J1374" s="109"/>
      <c r="K1374" s="109"/>
      <c r="L1374" s="109"/>
      <c r="M1374" s="791"/>
      <c r="N1374" s="378"/>
      <c r="O1374" s="792"/>
      <c r="P1374" s="864"/>
      <c r="Q1374" s="872"/>
      <c r="R1374" s="872"/>
      <c r="S1374" s="842"/>
      <c r="T1374" s="852"/>
    </row>
    <row r="1375" spans="1:20">
      <c r="D1375" s="384"/>
      <c r="E1375" s="931"/>
      <c r="F1375" s="384"/>
      <c r="G1375" s="384"/>
      <c r="H1375" s="384"/>
      <c r="I1375" s="384"/>
      <c r="J1375" s="384"/>
      <c r="K1375" s="384"/>
      <c r="L1375" s="384"/>
      <c r="M1375" s="9"/>
      <c r="N1375" s="926"/>
      <c r="O1375" s="900"/>
      <c r="P1375" s="901"/>
      <c r="Q1375" s="874"/>
      <c r="R1375" s="874"/>
      <c r="S1375" s="841"/>
      <c r="T1375" s="854"/>
    </row>
    <row r="1376" spans="1:20" ht="25.5">
      <c r="D1376" s="45"/>
      <c r="E1376" s="14"/>
      <c r="F1376" s="17"/>
      <c r="G1376" s="46" t="s">
        <v>342</v>
      </c>
      <c r="H1376" s="75"/>
      <c r="I1376" s="76"/>
      <c r="J1376" s="13"/>
      <c r="K1376" s="13"/>
      <c r="L1376" s="13"/>
      <c r="M1376" s="9"/>
      <c r="N1376" s="926"/>
      <c r="O1376" s="900"/>
      <c r="P1376" s="901"/>
      <c r="Q1376" s="874"/>
      <c r="R1376" s="874"/>
      <c r="S1376" s="841"/>
      <c r="T1376" s="854"/>
    </row>
    <row r="1377" spans="1:20">
      <c r="D1377" s="45"/>
      <c r="E1377" s="14"/>
      <c r="F1377" s="17"/>
      <c r="G1377" s="46"/>
      <c r="H1377" s="75"/>
      <c r="I1377" s="76"/>
      <c r="J1377" s="13"/>
      <c r="K1377" s="13"/>
      <c r="L1377" s="13"/>
      <c r="M1377" s="9"/>
      <c r="N1377" s="926"/>
      <c r="O1377" s="900"/>
      <c r="P1377" s="901"/>
      <c r="Q1377" s="874"/>
      <c r="R1377" s="874"/>
      <c r="S1377" s="841"/>
      <c r="T1377" s="854"/>
    </row>
    <row r="1378" spans="1:20">
      <c r="D1378" s="45">
        <v>1</v>
      </c>
      <c r="E1378" s="56"/>
      <c r="F1378" s="65"/>
      <c r="G1378" s="200" t="s">
        <v>1752</v>
      </c>
      <c r="H1378" s="22"/>
      <c r="I1378" s="51"/>
      <c r="J1378" s="20"/>
      <c r="K1378" s="20"/>
      <c r="L1378" s="20"/>
      <c r="M1378" s="9"/>
      <c r="N1378" s="926"/>
      <c r="O1378" s="900"/>
      <c r="P1378" s="901"/>
      <c r="Q1378" s="874"/>
      <c r="R1378" s="874"/>
      <c r="S1378" s="841"/>
      <c r="T1378" s="854"/>
    </row>
    <row r="1379" spans="1:20" ht="12" customHeight="1">
      <c r="D1379" s="49" t="s">
        <v>1751</v>
      </c>
      <c r="E1379" s="196"/>
      <c r="F1379" s="79"/>
      <c r="G1379" s="64" t="s">
        <v>766</v>
      </c>
      <c r="H1379" s="22"/>
      <c r="I1379" s="51"/>
      <c r="J1379" s="22"/>
      <c r="K1379" s="22"/>
      <c r="L1379" s="22"/>
      <c r="M1379" s="9"/>
      <c r="N1379" s="926"/>
      <c r="O1379" s="900"/>
      <c r="P1379" s="901"/>
      <c r="Q1379" s="874"/>
      <c r="R1379" s="874"/>
      <c r="S1379" s="841"/>
      <c r="T1379" s="854"/>
    </row>
    <row r="1380" spans="1:20" s="885" customFormat="1" ht="25.5">
      <c r="A1380" s="915"/>
      <c r="B1380" s="919"/>
      <c r="C1380" s="913"/>
      <c r="D1380" s="49" t="s">
        <v>153</v>
      </c>
      <c r="E1380" s="18" t="s">
        <v>1749</v>
      </c>
      <c r="F1380" s="22"/>
      <c r="G1380" s="61" t="s">
        <v>1750</v>
      </c>
      <c r="H1380" s="18" t="s">
        <v>326</v>
      </c>
      <c r="I1380" s="51">
        <v>2</v>
      </c>
      <c r="J1380" s="120">
        <v>46869</v>
      </c>
      <c r="K1380" s="120">
        <v>42024</v>
      </c>
      <c r="L1380" s="120">
        <v>16.8</v>
      </c>
      <c r="M1380" s="9">
        <f t="shared" si="92"/>
        <v>49084.03</v>
      </c>
      <c r="N1380" s="948">
        <v>0</v>
      </c>
      <c r="O1380" s="900">
        <f t="shared" ref="O1380:O1441" si="94">I1380-N1380</f>
        <v>2</v>
      </c>
      <c r="P1380" s="901">
        <f t="shared" si="93"/>
        <v>98168.06</v>
      </c>
      <c r="Q1380" s="882">
        <v>220</v>
      </c>
      <c r="R1380" s="882" t="s">
        <v>2438</v>
      </c>
      <c r="S1380" s="883"/>
      <c r="T1380" s="884"/>
    </row>
    <row r="1381" spans="1:20" s="885" customFormat="1" ht="25.5">
      <c r="A1381" s="915"/>
      <c r="B1381" s="919"/>
      <c r="C1381" s="913"/>
      <c r="D1381" s="49" t="s">
        <v>151</v>
      </c>
      <c r="E1381" s="833" t="s">
        <v>1932</v>
      </c>
      <c r="F1381" s="20"/>
      <c r="G1381" s="61" t="s">
        <v>1748</v>
      </c>
      <c r="H1381" s="18" t="s">
        <v>326</v>
      </c>
      <c r="I1381" s="51">
        <v>1</v>
      </c>
      <c r="J1381" s="120">
        <v>6416.75</v>
      </c>
      <c r="K1381" s="9">
        <v>8730</v>
      </c>
      <c r="L1381" s="120">
        <v>16.8</v>
      </c>
      <c r="M1381" s="9">
        <f t="shared" si="92"/>
        <v>10196.64</v>
      </c>
      <c r="N1381" s="948">
        <v>0</v>
      </c>
      <c r="O1381" s="900">
        <f t="shared" si="94"/>
        <v>1</v>
      </c>
      <c r="P1381" s="901">
        <f t="shared" si="93"/>
        <v>10196.64</v>
      </c>
      <c r="Q1381" s="882"/>
      <c r="R1381" s="882" t="s">
        <v>2428</v>
      </c>
      <c r="S1381" s="883"/>
      <c r="T1381" s="884"/>
    </row>
    <row r="1382" spans="1:20" s="885" customFormat="1" ht="25.5">
      <c r="A1382" s="915"/>
      <c r="B1382" s="919"/>
      <c r="C1382" s="913"/>
      <c r="D1382" s="49" t="s">
        <v>149</v>
      </c>
      <c r="E1382" s="833" t="s">
        <v>1933</v>
      </c>
      <c r="F1382" s="20"/>
      <c r="G1382" s="61" t="s">
        <v>1747</v>
      </c>
      <c r="H1382" s="18" t="s">
        <v>326</v>
      </c>
      <c r="I1382" s="51">
        <v>1</v>
      </c>
      <c r="J1382" s="120">
        <v>13839</v>
      </c>
      <c r="K1382" s="9">
        <v>7270</v>
      </c>
      <c r="L1382" s="120">
        <v>16.8</v>
      </c>
      <c r="M1382" s="9">
        <f t="shared" si="92"/>
        <v>8491.36</v>
      </c>
      <c r="N1382" s="948">
        <v>0</v>
      </c>
      <c r="O1382" s="900">
        <f t="shared" si="94"/>
        <v>1</v>
      </c>
      <c r="P1382" s="901">
        <f t="shared" si="93"/>
        <v>8491.36</v>
      </c>
      <c r="Q1382" s="882"/>
      <c r="R1382" s="882" t="s">
        <v>2428</v>
      </c>
      <c r="S1382" s="883"/>
      <c r="T1382" s="884"/>
    </row>
    <row r="1383" spans="1:20" s="610" customFormat="1" ht="25.5">
      <c r="A1383" s="915"/>
      <c r="B1383" s="919"/>
      <c r="C1383" s="913"/>
      <c r="D1383" s="49" t="s">
        <v>237</v>
      </c>
      <c r="E1383" s="833" t="s">
        <v>1474</v>
      </c>
      <c r="F1383" s="20"/>
      <c r="G1383" s="61" t="s">
        <v>1746</v>
      </c>
      <c r="H1383" s="18" t="s">
        <v>326</v>
      </c>
      <c r="I1383" s="51">
        <v>2</v>
      </c>
      <c r="J1383" s="120">
        <v>1656</v>
      </c>
      <c r="K1383" s="9">
        <f>J1383*$S$3</f>
        <v>2169.36</v>
      </c>
      <c r="L1383" s="120">
        <v>16.8</v>
      </c>
      <c r="M1383" s="9">
        <f t="shared" si="92"/>
        <v>2533.81</v>
      </c>
      <c r="N1383" s="948">
        <v>0</v>
      </c>
      <c r="O1383" s="900">
        <f t="shared" si="94"/>
        <v>2</v>
      </c>
      <c r="P1383" s="901">
        <f t="shared" si="93"/>
        <v>5067.62</v>
      </c>
      <c r="Q1383" s="873"/>
      <c r="R1383" s="873"/>
      <c r="S1383" s="840"/>
      <c r="T1383" s="853"/>
    </row>
    <row r="1384" spans="1:20">
      <c r="D1384" s="49" t="s">
        <v>19</v>
      </c>
      <c r="E1384" s="196"/>
      <c r="F1384" s="79"/>
      <c r="G1384" s="61" t="s">
        <v>1745</v>
      </c>
      <c r="H1384" s="18"/>
      <c r="I1384" s="51"/>
      <c r="J1384" s="120"/>
      <c r="K1384" s="120"/>
      <c r="L1384" s="120"/>
      <c r="M1384" s="9"/>
      <c r="N1384" s="926"/>
      <c r="O1384" s="900"/>
      <c r="P1384" s="901"/>
      <c r="Q1384" s="874"/>
      <c r="R1384" s="874"/>
      <c r="S1384" s="841"/>
      <c r="T1384" s="854"/>
    </row>
    <row r="1385" spans="1:20" s="885" customFormat="1" ht="25.5">
      <c r="A1385" s="915"/>
      <c r="B1385" s="919"/>
      <c r="C1385" s="913"/>
      <c r="D1385" s="49" t="s">
        <v>1744</v>
      </c>
      <c r="E1385" s="18" t="s">
        <v>1742</v>
      </c>
      <c r="F1385" s="22"/>
      <c r="G1385" s="61" t="s">
        <v>1743</v>
      </c>
      <c r="H1385" s="18" t="s">
        <v>246</v>
      </c>
      <c r="I1385" s="51">
        <v>2</v>
      </c>
      <c r="J1385" s="120">
        <v>13722.87</v>
      </c>
      <c r="K1385" s="9">
        <v>8000</v>
      </c>
      <c r="L1385" s="120">
        <v>16.8</v>
      </c>
      <c r="M1385" s="9">
        <f t="shared" si="92"/>
        <v>9344</v>
      </c>
      <c r="N1385" s="948">
        <v>0</v>
      </c>
      <c r="O1385" s="900">
        <f t="shared" si="94"/>
        <v>2</v>
      </c>
      <c r="P1385" s="901">
        <f t="shared" si="93"/>
        <v>18688</v>
      </c>
      <c r="Q1385" s="882"/>
      <c r="R1385" s="882" t="s">
        <v>2446</v>
      </c>
      <c r="S1385" s="883"/>
      <c r="T1385" s="884"/>
    </row>
    <row r="1386" spans="1:20" s="885" customFormat="1" ht="25.5">
      <c r="A1386" s="915"/>
      <c r="B1386" s="919"/>
      <c r="C1386" s="913"/>
      <c r="D1386" s="49" t="s">
        <v>213</v>
      </c>
      <c r="E1386" s="833" t="s">
        <v>1934</v>
      </c>
      <c r="F1386" s="20"/>
      <c r="G1386" s="61" t="s">
        <v>1741</v>
      </c>
      <c r="H1386" s="18" t="s">
        <v>246</v>
      </c>
      <c r="I1386" s="51">
        <v>2</v>
      </c>
      <c r="J1386" s="120">
        <v>4488</v>
      </c>
      <c r="K1386" s="9">
        <v>7080</v>
      </c>
      <c r="L1386" s="120">
        <v>16.8</v>
      </c>
      <c r="M1386" s="9">
        <f t="shared" si="92"/>
        <v>8269.44</v>
      </c>
      <c r="N1386" s="948">
        <v>0</v>
      </c>
      <c r="O1386" s="900">
        <f t="shared" si="94"/>
        <v>2</v>
      </c>
      <c r="P1386" s="901">
        <f t="shared" si="93"/>
        <v>16538.88</v>
      </c>
      <c r="Q1386" s="882"/>
      <c r="R1386" s="882" t="s">
        <v>2440</v>
      </c>
      <c r="S1386" s="883"/>
      <c r="T1386" s="884"/>
    </row>
    <row r="1387" spans="1:20" s="885" customFormat="1" ht="25.5">
      <c r="A1387" s="915"/>
      <c r="B1387" s="919"/>
      <c r="C1387" s="913"/>
      <c r="D1387" s="49" t="s">
        <v>212</v>
      </c>
      <c r="E1387" s="833" t="s">
        <v>1935</v>
      </c>
      <c r="F1387" s="20"/>
      <c r="G1387" s="61" t="s">
        <v>1740</v>
      </c>
      <c r="H1387" s="18" t="s">
        <v>246</v>
      </c>
      <c r="I1387" s="51">
        <v>2</v>
      </c>
      <c r="J1387" s="120">
        <v>11500</v>
      </c>
      <c r="K1387" s="9">
        <v>4400</v>
      </c>
      <c r="L1387" s="120">
        <v>16.8</v>
      </c>
      <c r="M1387" s="9">
        <f t="shared" si="92"/>
        <v>5139.2</v>
      </c>
      <c r="N1387" s="948">
        <v>0</v>
      </c>
      <c r="O1387" s="900">
        <f t="shared" si="94"/>
        <v>2</v>
      </c>
      <c r="P1387" s="901">
        <f t="shared" si="93"/>
        <v>10278.4</v>
      </c>
      <c r="Q1387" s="882"/>
      <c r="R1387" s="882" t="s">
        <v>2446</v>
      </c>
      <c r="S1387" s="883"/>
      <c r="T1387" s="884"/>
    </row>
    <row r="1388" spans="1:20" s="610" customFormat="1">
      <c r="A1388" s="915"/>
      <c r="B1388" s="919" t="s">
        <v>2457</v>
      </c>
      <c r="C1388" s="913"/>
      <c r="D1388" s="49" t="s">
        <v>211</v>
      </c>
      <c r="E1388" s="833" t="s">
        <v>1888</v>
      </c>
      <c r="F1388" s="20"/>
      <c r="G1388" s="61" t="s">
        <v>1739</v>
      </c>
      <c r="H1388" s="18" t="s">
        <v>246</v>
      </c>
      <c r="I1388" s="51">
        <v>2</v>
      </c>
      <c r="J1388" s="120">
        <v>710.78</v>
      </c>
      <c r="K1388" s="9">
        <f>J1388*$S$3</f>
        <v>931.12180000000001</v>
      </c>
      <c r="L1388" s="120">
        <v>16.8</v>
      </c>
      <c r="M1388" s="9">
        <f t="shared" si="92"/>
        <v>1087.55</v>
      </c>
      <c r="N1388" s="948">
        <v>0</v>
      </c>
      <c r="O1388" s="900">
        <f t="shared" si="94"/>
        <v>2</v>
      </c>
      <c r="P1388" s="901">
        <f t="shared" si="93"/>
        <v>2175.1</v>
      </c>
      <c r="Q1388" s="873"/>
      <c r="R1388" s="873"/>
      <c r="S1388" s="840"/>
      <c r="T1388" s="853"/>
    </row>
    <row r="1389" spans="1:20" s="610" customFormat="1">
      <c r="A1389" s="915"/>
      <c r="B1389" s="919" t="s">
        <v>2457</v>
      </c>
      <c r="C1389" s="913"/>
      <c r="D1389" s="49" t="s">
        <v>208</v>
      </c>
      <c r="E1389" s="833" t="s">
        <v>1887</v>
      </c>
      <c r="F1389" s="20"/>
      <c r="G1389" s="61" t="s">
        <v>1738</v>
      </c>
      <c r="H1389" s="18" t="s">
        <v>246</v>
      </c>
      <c r="I1389" s="51">
        <v>2</v>
      </c>
      <c r="J1389" s="120">
        <v>828.2</v>
      </c>
      <c r="K1389" s="9">
        <f>J1389*$S$3</f>
        <v>1084.942</v>
      </c>
      <c r="L1389" s="120">
        <v>16.8</v>
      </c>
      <c r="M1389" s="9">
        <f t="shared" si="92"/>
        <v>1267.21</v>
      </c>
      <c r="N1389" s="948">
        <v>0</v>
      </c>
      <c r="O1389" s="900">
        <f t="shared" si="94"/>
        <v>2</v>
      </c>
      <c r="P1389" s="901">
        <f t="shared" si="93"/>
        <v>2534.42</v>
      </c>
      <c r="Q1389" s="873"/>
      <c r="R1389" s="873"/>
      <c r="S1389" s="840"/>
      <c r="T1389" s="853"/>
    </row>
    <row r="1390" spans="1:20">
      <c r="D1390" s="49" t="s">
        <v>18</v>
      </c>
      <c r="E1390" s="196"/>
      <c r="F1390" s="79"/>
      <c r="G1390" s="61" t="s">
        <v>1395</v>
      </c>
      <c r="H1390" s="18"/>
      <c r="I1390" s="51"/>
      <c r="J1390" s="22"/>
      <c r="K1390" s="22"/>
      <c r="L1390" s="120"/>
      <c r="M1390" s="9"/>
      <c r="N1390" s="926"/>
      <c r="O1390" s="900"/>
      <c r="P1390" s="901"/>
      <c r="Q1390" s="874"/>
      <c r="R1390" s="874"/>
      <c r="S1390" s="841"/>
      <c r="T1390" s="854"/>
    </row>
    <row r="1391" spans="1:20" s="610" customFormat="1" ht="25.5">
      <c r="A1391" s="915" t="s">
        <v>2456</v>
      </c>
      <c r="B1391" s="919"/>
      <c r="C1391" s="913"/>
      <c r="D1391" s="49" t="s">
        <v>201</v>
      </c>
      <c r="E1391" s="18" t="s">
        <v>857</v>
      </c>
      <c r="F1391" s="22"/>
      <c r="G1391" s="116" t="s">
        <v>1737</v>
      </c>
      <c r="H1391" s="119" t="s">
        <v>246</v>
      </c>
      <c r="I1391" s="121">
        <v>2</v>
      </c>
      <c r="J1391" s="120">
        <v>7223.1</v>
      </c>
      <c r="K1391" s="9">
        <f>J1391*$S$3</f>
        <v>9462.2610000000004</v>
      </c>
      <c r="L1391" s="120">
        <v>16.8</v>
      </c>
      <c r="M1391" s="9">
        <f t="shared" si="92"/>
        <v>11051.92</v>
      </c>
      <c r="N1391" s="948">
        <v>0</v>
      </c>
      <c r="O1391" s="900">
        <f t="shared" si="94"/>
        <v>2</v>
      </c>
      <c r="P1391" s="901">
        <f t="shared" si="93"/>
        <v>22103.84</v>
      </c>
      <c r="Q1391" s="873"/>
      <c r="R1391" s="873"/>
      <c r="S1391" s="840"/>
      <c r="T1391" s="853"/>
    </row>
    <row r="1392" spans="1:20" s="610" customFormat="1" ht="25.5">
      <c r="A1392" s="915" t="s">
        <v>2456</v>
      </c>
      <c r="B1392" s="919"/>
      <c r="C1392" s="913"/>
      <c r="D1392" s="49" t="s">
        <v>198</v>
      </c>
      <c r="E1392" s="833" t="s">
        <v>1936</v>
      </c>
      <c r="F1392" s="20"/>
      <c r="G1392" s="116" t="s">
        <v>1736</v>
      </c>
      <c r="H1392" s="119" t="s">
        <v>246</v>
      </c>
      <c r="I1392" s="121">
        <v>6</v>
      </c>
      <c r="J1392" s="120">
        <v>1241.0999999999999</v>
      </c>
      <c r="K1392" s="9">
        <f>J1392*$S$3</f>
        <v>1625.8409999999999</v>
      </c>
      <c r="L1392" s="120">
        <v>16.8</v>
      </c>
      <c r="M1392" s="9">
        <f t="shared" si="92"/>
        <v>1898.98</v>
      </c>
      <c r="N1392" s="948">
        <v>0</v>
      </c>
      <c r="O1392" s="900">
        <f t="shared" si="94"/>
        <v>6</v>
      </c>
      <c r="P1392" s="901">
        <f t="shared" si="93"/>
        <v>11393.88</v>
      </c>
      <c r="Q1392" s="873"/>
      <c r="R1392" s="873"/>
      <c r="S1392" s="840"/>
      <c r="T1392" s="853"/>
    </row>
    <row r="1393" spans="1:20" s="610" customFormat="1">
      <c r="A1393" s="915" t="s">
        <v>2456</v>
      </c>
      <c r="B1393" s="919"/>
      <c r="C1393" s="913"/>
      <c r="D1393" s="49" t="s">
        <v>390</v>
      </c>
      <c r="E1393" s="833" t="s">
        <v>382</v>
      </c>
      <c r="F1393" s="20"/>
      <c r="G1393" s="116" t="s">
        <v>1735</v>
      </c>
      <c r="H1393" s="119" t="s">
        <v>246</v>
      </c>
      <c r="I1393" s="121">
        <v>2</v>
      </c>
      <c r="J1393" s="120">
        <v>5832.92</v>
      </c>
      <c r="K1393" s="9">
        <f>J1393*$S$3</f>
        <v>7641.1252000000004</v>
      </c>
      <c r="L1393" s="120">
        <v>16.8</v>
      </c>
      <c r="M1393" s="9">
        <f t="shared" si="92"/>
        <v>8924.83</v>
      </c>
      <c r="N1393" s="948">
        <v>0</v>
      </c>
      <c r="O1393" s="900">
        <f t="shared" si="94"/>
        <v>2</v>
      </c>
      <c r="P1393" s="901">
        <f t="shared" si="93"/>
        <v>17849.66</v>
      </c>
      <c r="Q1393" s="873"/>
      <c r="R1393" s="873"/>
      <c r="S1393" s="840"/>
      <c r="T1393" s="853"/>
    </row>
    <row r="1394" spans="1:20">
      <c r="D1394" s="49"/>
      <c r="E1394" s="833"/>
      <c r="F1394" s="20"/>
      <c r="G1394" s="116"/>
      <c r="H1394" s="119"/>
      <c r="I1394" s="121"/>
      <c r="J1394" s="120"/>
      <c r="K1394" s="120"/>
      <c r="L1394" s="120"/>
      <c r="M1394" s="9"/>
      <c r="N1394" s="926"/>
      <c r="O1394" s="900"/>
      <c r="P1394" s="901"/>
      <c r="Q1394" s="874"/>
      <c r="R1394" s="874"/>
      <c r="S1394" s="841"/>
      <c r="T1394" s="854"/>
    </row>
    <row r="1395" spans="1:20">
      <c r="D1395" s="49"/>
      <c r="E1395" s="833"/>
      <c r="F1395" s="20"/>
      <c r="G1395" s="116"/>
      <c r="H1395" s="119"/>
      <c r="I1395" s="121"/>
      <c r="J1395" s="120"/>
      <c r="K1395" s="120"/>
      <c r="L1395" s="120"/>
      <c r="M1395" s="9"/>
      <c r="N1395" s="926"/>
      <c r="O1395" s="900"/>
      <c r="P1395" s="901"/>
      <c r="Q1395" s="874"/>
      <c r="R1395" s="874"/>
      <c r="S1395" s="841"/>
      <c r="T1395" s="854"/>
    </row>
    <row r="1396" spans="1:20">
      <c r="D1396" s="49" t="s">
        <v>17</v>
      </c>
      <c r="E1396" s="196"/>
      <c r="F1396" s="79"/>
      <c r="G1396" s="61" t="s">
        <v>340</v>
      </c>
      <c r="H1396" s="18"/>
      <c r="I1396" s="51"/>
      <c r="J1396" s="22"/>
      <c r="K1396" s="22"/>
      <c r="L1396" s="120"/>
      <c r="M1396" s="9"/>
      <c r="N1396" s="926"/>
      <c r="O1396" s="900"/>
      <c r="P1396" s="901"/>
      <c r="Q1396" s="874"/>
      <c r="R1396" s="874"/>
      <c r="S1396" s="841"/>
      <c r="T1396" s="854"/>
    </row>
    <row r="1397" spans="1:20" s="610" customFormat="1">
      <c r="A1397" s="915" t="s">
        <v>2456</v>
      </c>
      <c r="B1397" s="919"/>
      <c r="C1397" s="913"/>
      <c r="D1397" s="49" t="s">
        <v>195</v>
      </c>
      <c r="E1397" s="18" t="s">
        <v>1733</v>
      </c>
      <c r="F1397" s="22"/>
      <c r="G1397" s="116" t="s">
        <v>1734</v>
      </c>
      <c r="H1397" s="119" t="s">
        <v>246</v>
      </c>
      <c r="I1397" s="121">
        <v>4</v>
      </c>
      <c r="J1397" s="120">
        <v>3010.36</v>
      </c>
      <c r="K1397" s="9">
        <f>J1397*$S$3</f>
        <v>3943.5716000000002</v>
      </c>
      <c r="L1397" s="120">
        <v>16.8</v>
      </c>
      <c r="M1397" s="9">
        <f t="shared" si="92"/>
        <v>4606.09</v>
      </c>
      <c r="N1397" s="948">
        <v>0</v>
      </c>
      <c r="O1397" s="900">
        <f t="shared" si="94"/>
        <v>4</v>
      </c>
      <c r="P1397" s="901">
        <f t="shared" si="93"/>
        <v>18424.36</v>
      </c>
      <c r="Q1397" s="873"/>
      <c r="R1397" s="873"/>
      <c r="S1397" s="840"/>
      <c r="T1397" s="853"/>
    </row>
    <row r="1398" spans="1:20" s="610" customFormat="1">
      <c r="A1398" s="915" t="s">
        <v>2456</v>
      </c>
      <c r="B1398" s="919"/>
      <c r="C1398" s="913"/>
      <c r="D1398" s="49" t="s">
        <v>192</v>
      </c>
      <c r="E1398" s="833" t="s">
        <v>1937</v>
      </c>
      <c r="F1398" s="20"/>
      <c r="G1398" s="116" t="s">
        <v>1732</v>
      </c>
      <c r="H1398" s="119" t="s">
        <v>246</v>
      </c>
      <c r="I1398" s="121">
        <v>1</v>
      </c>
      <c r="J1398" s="120">
        <v>3110.68</v>
      </c>
      <c r="K1398" s="9">
        <f>J1398*$S$3</f>
        <v>4074.9908</v>
      </c>
      <c r="L1398" s="120">
        <v>16.8</v>
      </c>
      <c r="M1398" s="9">
        <f t="shared" si="92"/>
        <v>4759.59</v>
      </c>
      <c r="N1398" s="948">
        <v>0</v>
      </c>
      <c r="O1398" s="900">
        <f t="shared" si="94"/>
        <v>1</v>
      </c>
      <c r="P1398" s="901">
        <f t="shared" si="93"/>
        <v>4759.59</v>
      </c>
      <c r="Q1398" s="873"/>
      <c r="R1398" s="873"/>
      <c r="S1398" s="840"/>
      <c r="T1398" s="853"/>
    </row>
    <row r="1399" spans="1:20" s="610" customFormat="1">
      <c r="A1399" s="915"/>
      <c r="B1399" s="919"/>
      <c r="C1399" s="913"/>
      <c r="D1399" s="49" t="s">
        <v>280</v>
      </c>
      <c r="E1399" s="833" t="s">
        <v>1938</v>
      </c>
      <c r="F1399" s="20"/>
      <c r="G1399" s="116" t="s">
        <v>1731</v>
      </c>
      <c r="H1399" s="119" t="s">
        <v>246</v>
      </c>
      <c r="I1399" s="121">
        <v>1</v>
      </c>
      <c r="J1399" s="120">
        <v>380</v>
      </c>
      <c r="K1399" s="9">
        <f>J1399*$S$3</f>
        <v>497.8</v>
      </c>
      <c r="L1399" s="120">
        <v>16.8</v>
      </c>
      <c r="M1399" s="9">
        <f t="shared" si="92"/>
        <v>581.42999999999995</v>
      </c>
      <c r="N1399" s="948">
        <v>0</v>
      </c>
      <c r="O1399" s="900">
        <f t="shared" si="94"/>
        <v>1</v>
      </c>
      <c r="P1399" s="901">
        <f t="shared" si="93"/>
        <v>581.42999999999995</v>
      </c>
      <c r="Q1399" s="873"/>
      <c r="R1399" s="873"/>
      <c r="S1399" s="840"/>
      <c r="T1399" s="853"/>
    </row>
    <row r="1400" spans="1:20">
      <c r="D1400" s="49" t="s">
        <v>16</v>
      </c>
      <c r="E1400" s="127"/>
      <c r="F1400" s="123"/>
      <c r="G1400" s="116" t="s">
        <v>335</v>
      </c>
      <c r="H1400" s="283"/>
      <c r="I1400" s="120"/>
      <c r="J1400" s="120"/>
      <c r="K1400" s="120"/>
      <c r="L1400" s="120"/>
      <c r="M1400" s="9"/>
      <c r="N1400" s="926"/>
      <c r="O1400" s="900"/>
      <c r="P1400" s="901"/>
      <c r="Q1400" s="874"/>
      <c r="R1400" s="874"/>
      <c r="S1400" s="841"/>
      <c r="T1400" s="854"/>
    </row>
    <row r="1401" spans="1:20" s="610" customFormat="1">
      <c r="A1401" s="915" t="s">
        <v>2456</v>
      </c>
      <c r="B1401" s="919"/>
      <c r="C1401" s="913"/>
      <c r="D1401" s="49" t="s">
        <v>270</v>
      </c>
      <c r="E1401" s="18" t="s">
        <v>1729</v>
      </c>
      <c r="F1401" s="22"/>
      <c r="G1401" s="116" t="s">
        <v>1730</v>
      </c>
      <c r="H1401" s="283" t="s">
        <v>246</v>
      </c>
      <c r="I1401" s="120">
        <v>2</v>
      </c>
      <c r="J1401" s="120">
        <v>5832.92</v>
      </c>
      <c r="K1401" s="9">
        <f t="shared" ref="K1401:K1410" si="95">J1401*$S$3</f>
        <v>7641.1252000000004</v>
      </c>
      <c r="L1401" s="120">
        <v>16.8</v>
      </c>
      <c r="M1401" s="9">
        <f t="shared" si="92"/>
        <v>8924.83</v>
      </c>
      <c r="N1401" s="948">
        <v>0</v>
      </c>
      <c r="O1401" s="900">
        <f t="shared" si="94"/>
        <v>2</v>
      </c>
      <c r="P1401" s="901">
        <f t="shared" si="93"/>
        <v>17849.66</v>
      </c>
      <c r="Q1401" s="873"/>
      <c r="R1401" s="873"/>
      <c r="S1401" s="840"/>
      <c r="T1401" s="853"/>
    </row>
    <row r="1402" spans="1:20" s="610" customFormat="1">
      <c r="A1402" s="915" t="s">
        <v>2456</v>
      </c>
      <c r="B1402" s="919"/>
      <c r="C1402" s="913"/>
      <c r="D1402" s="49" t="s">
        <v>369</v>
      </c>
      <c r="E1402" s="18" t="s">
        <v>614</v>
      </c>
      <c r="F1402" s="22"/>
      <c r="G1402" s="116" t="s">
        <v>1728</v>
      </c>
      <c r="H1402" s="119" t="s">
        <v>246</v>
      </c>
      <c r="I1402" s="121">
        <v>2</v>
      </c>
      <c r="J1402" s="120">
        <v>4354.18</v>
      </c>
      <c r="K1402" s="9">
        <f t="shared" si="95"/>
        <v>5703.9758000000002</v>
      </c>
      <c r="L1402" s="120">
        <v>16.8</v>
      </c>
      <c r="M1402" s="9">
        <f t="shared" si="92"/>
        <v>6662.24</v>
      </c>
      <c r="N1402" s="948">
        <v>0</v>
      </c>
      <c r="O1402" s="900">
        <f t="shared" si="94"/>
        <v>2</v>
      </c>
      <c r="P1402" s="901">
        <f t="shared" si="93"/>
        <v>13324.48</v>
      </c>
      <c r="Q1402" s="873"/>
      <c r="R1402" s="873"/>
      <c r="S1402" s="840"/>
      <c r="T1402" s="853"/>
    </row>
    <row r="1403" spans="1:20" s="610" customFormat="1" ht="25.5">
      <c r="A1403" s="915" t="s">
        <v>2456</v>
      </c>
      <c r="B1403" s="919"/>
      <c r="C1403" s="913"/>
      <c r="D1403" s="49" t="s">
        <v>367</v>
      </c>
      <c r="E1403" s="18" t="s">
        <v>1726</v>
      </c>
      <c r="F1403" s="22"/>
      <c r="G1403" s="116" t="s">
        <v>1727</v>
      </c>
      <c r="H1403" s="119" t="s">
        <v>246</v>
      </c>
      <c r="I1403" s="121">
        <v>2</v>
      </c>
      <c r="J1403" s="120">
        <v>3135.16</v>
      </c>
      <c r="K1403" s="9">
        <f t="shared" si="95"/>
        <v>4107.0595999999996</v>
      </c>
      <c r="L1403" s="120">
        <v>16.8</v>
      </c>
      <c r="M1403" s="9">
        <f t="shared" si="92"/>
        <v>4797.05</v>
      </c>
      <c r="N1403" s="948">
        <v>0</v>
      </c>
      <c r="O1403" s="900">
        <f t="shared" si="94"/>
        <v>2</v>
      </c>
      <c r="P1403" s="901">
        <f t="shared" si="93"/>
        <v>9594.1</v>
      </c>
      <c r="Q1403" s="873"/>
      <c r="R1403" s="873"/>
      <c r="S1403" s="840"/>
      <c r="T1403" s="853"/>
    </row>
    <row r="1404" spans="1:20" s="610" customFormat="1" ht="25.5">
      <c r="A1404" s="915" t="s">
        <v>2456</v>
      </c>
      <c r="B1404" s="919"/>
      <c r="C1404" s="913"/>
      <c r="D1404" s="49" t="s">
        <v>365</v>
      </c>
      <c r="E1404" s="18" t="s">
        <v>1724</v>
      </c>
      <c r="F1404" s="22"/>
      <c r="G1404" s="116" t="s">
        <v>1725</v>
      </c>
      <c r="H1404" s="119" t="s">
        <v>246</v>
      </c>
      <c r="I1404" s="121">
        <v>2</v>
      </c>
      <c r="J1404" s="120">
        <v>2680</v>
      </c>
      <c r="K1404" s="9">
        <f t="shared" si="95"/>
        <v>3510.8</v>
      </c>
      <c r="L1404" s="120">
        <v>16.8</v>
      </c>
      <c r="M1404" s="9">
        <f t="shared" si="92"/>
        <v>4100.6099999999997</v>
      </c>
      <c r="N1404" s="948">
        <v>0</v>
      </c>
      <c r="O1404" s="900">
        <f t="shared" si="94"/>
        <v>2</v>
      </c>
      <c r="P1404" s="901">
        <f t="shared" si="93"/>
        <v>8201.2199999999993</v>
      </c>
      <c r="Q1404" s="873"/>
      <c r="R1404" s="873"/>
      <c r="S1404" s="840"/>
      <c r="T1404" s="853"/>
    </row>
    <row r="1405" spans="1:20" s="610" customFormat="1">
      <c r="A1405" s="915" t="s">
        <v>2456</v>
      </c>
      <c r="B1405" s="919"/>
      <c r="C1405" s="913"/>
      <c r="D1405" s="49" t="s">
        <v>1045</v>
      </c>
      <c r="E1405" s="833" t="s">
        <v>1939</v>
      </c>
      <c r="F1405" s="20"/>
      <c r="G1405" s="116" t="s">
        <v>1722</v>
      </c>
      <c r="H1405" s="119" t="s">
        <v>246</v>
      </c>
      <c r="I1405" s="121">
        <v>1</v>
      </c>
      <c r="J1405" s="120">
        <v>1200</v>
      </c>
      <c r="K1405" s="9">
        <f t="shared" si="95"/>
        <v>1572</v>
      </c>
      <c r="L1405" s="120">
        <v>16.8</v>
      </c>
      <c r="M1405" s="9">
        <f t="shared" si="92"/>
        <v>1836.1</v>
      </c>
      <c r="N1405" s="948">
        <v>0</v>
      </c>
      <c r="O1405" s="900">
        <f t="shared" si="94"/>
        <v>1</v>
      </c>
      <c r="P1405" s="901">
        <f t="shared" si="93"/>
        <v>1836.1</v>
      </c>
      <c r="Q1405" s="873"/>
      <c r="R1405" s="873"/>
      <c r="S1405" s="840"/>
      <c r="T1405" s="853"/>
    </row>
    <row r="1406" spans="1:20" s="610" customFormat="1">
      <c r="A1406" s="915" t="s">
        <v>2456</v>
      </c>
      <c r="B1406" s="919"/>
      <c r="C1406" s="913"/>
      <c r="D1406" s="49" t="s">
        <v>1043</v>
      </c>
      <c r="E1406" s="18" t="s">
        <v>1940</v>
      </c>
      <c r="F1406" s="22"/>
      <c r="G1406" s="116" t="s">
        <v>1723</v>
      </c>
      <c r="H1406" s="119" t="s">
        <v>246</v>
      </c>
      <c r="I1406" s="121">
        <v>1</v>
      </c>
      <c r="J1406" s="120">
        <v>1860</v>
      </c>
      <c r="K1406" s="9">
        <f t="shared" si="95"/>
        <v>2436.6</v>
      </c>
      <c r="L1406" s="120">
        <v>16.8</v>
      </c>
      <c r="M1406" s="9">
        <f t="shared" si="92"/>
        <v>2845.95</v>
      </c>
      <c r="N1406" s="948">
        <v>0</v>
      </c>
      <c r="O1406" s="900">
        <f t="shared" si="94"/>
        <v>1</v>
      </c>
      <c r="P1406" s="901">
        <f t="shared" si="93"/>
        <v>2845.95</v>
      </c>
      <c r="Q1406" s="873"/>
      <c r="R1406" s="873"/>
      <c r="S1406" s="840"/>
      <c r="T1406" s="853"/>
    </row>
    <row r="1407" spans="1:20" s="610" customFormat="1">
      <c r="A1407" s="915" t="s">
        <v>2456</v>
      </c>
      <c r="B1407" s="919"/>
      <c r="C1407" s="913"/>
      <c r="D1407" s="49" t="s">
        <v>1090</v>
      </c>
      <c r="E1407" s="18" t="s">
        <v>1941</v>
      </c>
      <c r="F1407" s="22"/>
      <c r="G1407" s="116" t="s">
        <v>1722</v>
      </c>
      <c r="H1407" s="119" t="s">
        <v>1721</v>
      </c>
      <c r="I1407" s="121">
        <v>1</v>
      </c>
      <c r="J1407" s="120">
        <v>716.61</v>
      </c>
      <c r="K1407" s="9">
        <f t="shared" si="95"/>
        <v>938.7591000000001</v>
      </c>
      <c r="L1407" s="120">
        <v>16.8</v>
      </c>
      <c r="M1407" s="9">
        <f t="shared" si="92"/>
        <v>1096.47</v>
      </c>
      <c r="N1407" s="948">
        <v>0</v>
      </c>
      <c r="O1407" s="900">
        <f t="shared" si="94"/>
        <v>1</v>
      </c>
      <c r="P1407" s="901">
        <f t="shared" si="93"/>
        <v>1096.47</v>
      </c>
      <c r="Q1407" s="873"/>
      <c r="R1407" s="873"/>
      <c r="S1407" s="840"/>
      <c r="T1407" s="853"/>
    </row>
    <row r="1408" spans="1:20" s="610" customFormat="1" ht="25.5">
      <c r="A1408" s="915" t="s">
        <v>2456</v>
      </c>
      <c r="B1408" s="919"/>
      <c r="C1408" s="913"/>
      <c r="D1408" s="49" t="s">
        <v>1087</v>
      </c>
      <c r="E1408" s="18" t="s">
        <v>1719</v>
      </c>
      <c r="F1408" s="22"/>
      <c r="G1408" s="116" t="s">
        <v>1720</v>
      </c>
      <c r="H1408" s="119" t="s">
        <v>326</v>
      </c>
      <c r="I1408" s="121">
        <v>4</v>
      </c>
      <c r="J1408" s="120">
        <v>152.15</v>
      </c>
      <c r="K1408" s="9">
        <f t="shared" si="95"/>
        <v>199.31650000000002</v>
      </c>
      <c r="L1408" s="120">
        <v>16.8</v>
      </c>
      <c r="M1408" s="9">
        <f t="shared" si="92"/>
        <v>232.8</v>
      </c>
      <c r="N1408" s="948">
        <v>0</v>
      </c>
      <c r="O1408" s="900">
        <f t="shared" si="94"/>
        <v>4</v>
      </c>
      <c r="P1408" s="901">
        <f t="shared" si="93"/>
        <v>931.2</v>
      </c>
      <c r="Q1408" s="873"/>
      <c r="R1408" s="873"/>
      <c r="S1408" s="840"/>
      <c r="T1408" s="853"/>
    </row>
    <row r="1409" spans="1:20" s="610" customFormat="1" ht="25.5">
      <c r="A1409" s="915" t="s">
        <v>2456</v>
      </c>
      <c r="B1409" s="919"/>
      <c r="C1409" s="913"/>
      <c r="D1409" s="49" t="s">
        <v>1084</v>
      </c>
      <c r="E1409" s="18" t="s">
        <v>359</v>
      </c>
      <c r="F1409" s="22"/>
      <c r="G1409" s="116" t="s">
        <v>1718</v>
      </c>
      <c r="H1409" s="119" t="s">
        <v>326</v>
      </c>
      <c r="I1409" s="121">
        <v>15</v>
      </c>
      <c r="J1409" s="120">
        <v>493.56</v>
      </c>
      <c r="K1409" s="9">
        <f t="shared" si="95"/>
        <v>646.56360000000006</v>
      </c>
      <c r="L1409" s="120">
        <v>16.8</v>
      </c>
      <c r="M1409" s="9">
        <f t="shared" si="92"/>
        <v>755.19</v>
      </c>
      <c r="N1409" s="948">
        <v>0</v>
      </c>
      <c r="O1409" s="900">
        <f t="shared" si="94"/>
        <v>15</v>
      </c>
      <c r="P1409" s="901">
        <f t="shared" si="93"/>
        <v>11327.85</v>
      </c>
      <c r="Q1409" s="873"/>
      <c r="R1409" s="873"/>
      <c r="S1409" s="840"/>
      <c r="T1409" s="853"/>
    </row>
    <row r="1410" spans="1:20" s="610" customFormat="1" ht="25.5">
      <c r="A1410" s="915" t="s">
        <v>2456</v>
      </c>
      <c r="B1410" s="919"/>
      <c r="C1410" s="913"/>
      <c r="D1410" s="49" t="s">
        <v>1168</v>
      </c>
      <c r="E1410" s="18" t="s">
        <v>573</v>
      </c>
      <c r="F1410" s="22"/>
      <c r="G1410" s="116" t="s">
        <v>1717</v>
      </c>
      <c r="H1410" s="119" t="s">
        <v>326</v>
      </c>
      <c r="I1410" s="121">
        <v>6</v>
      </c>
      <c r="J1410" s="120">
        <v>579.5</v>
      </c>
      <c r="K1410" s="9">
        <f t="shared" si="95"/>
        <v>759.14499999999998</v>
      </c>
      <c r="L1410" s="120">
        <v>16.8</v>
      </c>
      <c r="M1410" s="9">
        <f t="shared" si="92"/>
        <v>886.68</v>
      </c>
      <c r="N1410" s="948">
        <v>0</v>
      </c>
      <c r="O1410" s="900">
        <f t="shared" si="94"/>
        <v>6</v>
      </c>
      <c r="P1410" s="901">
        <f t="shared" si="93"/>
        <v>5320.08</v>
      </c>
      <c r="Q1410" s="873"/>
      <c r="R1410" s="873"/>
      <c r="S1410" s="840"/>
      <c r="T1410" s="853"/>
    </row>
    <row r="1411" spans="1:20">
      <c r="D1411" s="49" t="s">
        <v>15</v>
      </c>
      <c r="E1411" s="196"/>
      <c r="F1411" s="79"/>
      <c r="G1411" s="61" t="s">
        <v>549</v>
      </c>
      <c r="H1411" s="18"/>
      <c r="I1411" s="51"/>
      <c r="J1411" s="120"/>
      <c r="K1411" s="120"/>
      <c r="L1411" s="120"/>
      <c r="M1411" s="9"/>
      <c r="N1411" s="948"/>
      <c r="O1411" s="900"/>
      <c r="P1411" s="901"/>
      <c r="Q1411" s="874"/>
      <c r="R1411" s="874"/>
      <c r="S1411" s="841"/>
      <c r="T1411" s="854"/>
    </row>
    <row r="1412" spans="1:20" s="610" customFormat="1" ht="25.5">
      <c r="A1412" s="915" t="s">
        <v>2456</v>
      </c>
      <c r="B1412" s="919"/>
      <c r="C1412" s="913"/>
      <c r="D1412" s="49" t="s">
        <v>249</v>
      </c>
      <c r="E1412" s="833" t="s">
        <v>1942</v>
      </c>
      <c r="F1412" s="20"/>
      <c r="G1412" s="116" t="s">
        <v>1716</v>
      </c>
      <c r="H1412" s="119" t="s">
        <v>246</v>
      </c>
      <c r="I1412" s="121">
        <v>2</v>
      </c>
      <c r="J1412" s="120">
        <v>1135.98</v>
      </c>
      <c r="K1412" s="9">
        <f>J1412*$S$3</f>
        <v>1488.1338000000001</v>
      </c>
      <c r="L1412" s="120">
        <v>16.8</v>
      </c>
      <c r="M1412" s="9">
        <f t="shared" si="92"/>
        <v>1738.14</v>
      </c>
      <c r="N1412" s="948">
        <v>0</v>
      </c>
      <c r="O1412" s="900">
        <f t="shared" si="94"/>
        <v>2</v>
      </c>
      <c r="P1412" s="901">
        <f t="shared" si="93"/>
        <v>3476.28</v>
      </c>
      <c r="Q1412" s="873"/>
      <c r="R1412" s="873"/>
      <c r="S1412" s="840"/>
      <c r="T1412" s="853"/>
    </row>
    <row r="1413" spans="1:20" s="610" customFormat="1" ht="25.5">
      <c r="A1413" s="915" t="s">
        <v>2456</v>
      </c>
      <c r="B1413" s="919"/>
      <c r="C1413" s="913"/>
      <c r="D1413" s="49" t="s">
        <v>265</v>
      </c>
      <c r="E1413" s="833" t="s">
        <v>1928</v>
      </c>
      <c r="F1413" s="20"/>
      <c r="G1413" s="116" t="s">
        <v>1715</v>
      </c>
      <c r="H1413" s="119" t="s">
        <v>110</v>
      </c>
      <c r="I1413" s="121">
        <v>1.5</v>
      </c>
      <c r="J1413" s="120">
        <v>1312.58</v>
      </c>
      <c r="K1413" s="9">
        <f>J1413*$S$3</f>
        <v>1719.4798000000001</v>
      </c>
      <c r="L1413" s="120">
        <v>16.8</v>
      </c>
      <c r="M1413" s="9">
        <f t="shared" si="92"/>
        <v>2008.35</v>
      </c>
      <c r="N1413" s="948">
        <v>0</v>
      </c>
      <c r="O1413" s="900">
        <f t="shared" si="94"/>
        <v>1.5</v>
      </c>
      <c r="P1413" s="901">
        <f t="shared" si="93"/>
        <v>3012.53</v>
      </c>
      <c r="Q1413" s="873"/>
      <c r="R1413" s="873"/>
      <c r="S1413" s="840"/>
      <c r="T1413" s="853"/>
    </row>
    <row r="1414" spans="1:20" s="610" customFormat="1" ht="25.5">
      <c r="A1414" s="915" t="s">
        <v>2456</v>
      </c>
      <c r="B1414" s="919"/>
      <c r="C1414" s="913"/>
      <c r="D1414" s="49" t="s">
        <v>263</v>
      </c>
      <c r="E1414" s="833" t="s">
        <v>1623</v>
      </c>
      <c r="F1414" s="20"/>
      <c r="G1414" s="116" t="s">
        <v>1714</v>
      </c>
      <c r="H1414" s="119" t="s">
        <v>110</v>
      </c>
      <c r="I1414" s="121">
        <f>0.63*2</f>
        <v>1.26</v>
      </c>
      <c r="J1414" s="120">
        <v>1526.7</v>
      </c>
      <c r="K1414" s="9">
        <f>J1414*$S$3</f>
        <v>1999.9770000000001</v>
      </c>
      <c r="L1414" s="120">
        <v>16.8</v>
      </c>
      <c r="M1414" s="9">
        <f t="shared" si="92"/>
        <v>2335.9699999999998</v>
      </c>
      <c r="N1414" s="948">
        <v>0</v>
      </c>
      <c r="O1414" s="900">
        <f t="shared" si="94"/>
        <v>1.26</v>
      </c>
      <c r="P1414" s="901">
        <f t="shared" si="93"/>
        <v>2943.32</v>
      </c>
      <c r="Q1414" s="873"/>
      <c r="R1414" s="873"/>
      <c r="S1414" s="840"/>
      <c r="T1414" s="853"/>
    </row>
    <row r="1415" spans="1:20">
      <c r="D1415" s="126"/>
      <c r="E1415" s="833"/>
      <c r="F1415" s="20"/>
      <c r="G1415" s="116"/>
      <c r="H1415" s="119"/>
      <c r="I1415" s="121"/>
      <c r="J1415" s="120"/>
      <c r="K1415" s="120"/>
      <c r="L1415" s="120"/>
      <c r="M1415" s="9"/>
      <c r="N1415" s="948"/>
      <c r="O1415" s="900"/>
      <c r="P1415" s="901"/>
      <c r="Q1415" s="874"/>
      <c r="R1415" s="874"/>
      <c r="S1415" s="841"/>
      <c r="T1415" s="854"/>
    </row>
    <row r="1416" spans="1:20">
      <c r="D1416" s="126"/>
      <c r="E1416" s="833"/>
      <c r="F1416" s="20"/>
      <c r="G1416" s="116"/>
      <c r="H1416" s="119"/>
      <c r="I1416" s="121"/>
      <c r="J1416" s="120"/>
      <c r="K1416" s="120"/>
      <c r="L1416" s="120"/>
      <c r="M1416" s="9"/>
      <c r="N1416" s="948"/>
      <c r="O1416" s="900"/>
      <c r="P1416" s="901"/>
      <c r="Q1416" s="874"/>
      <c r="R1416" s="874"/>
      <c r="S1416" s="841"/>
      <c r="T1416" s="854"/>
    </row>
    <row r="1417" spans="1:20" s="610" customFormat="1" ht="25.5">
      <c r="A1417" s="915" t="s">
        <v>2456</v>
      </c>
      <c r="B1417" s="919"/>
      <c r="C1417" s="913"/>
      <c r="D1417" s="49" t="s">
        <v>358</v>
      </c>
      <c r="E1417" s="833" t="s">
        <v>1623</v>
      </c>
      <c r="F1417" s="20"/>
      <c r="G1417" s="116" t="s">
        <v>1713</v>
      </c>
      <c r="H1417" s="119" t="s">
        <v>110</v>
      </c>
      <c r="I1417" s="121">
        <f>2*2.35</f>
        <v>4.7</v>
      </c>
      <c r="J1417" s="120">
        <v>1526.7</v>
      </c>
      <c r="K1417" s="9">
        <f>J1417*$S$3</f>
        <v>1999.9770000000001</v>
      </c>
      <c r="L1417" s="120">
        <v>16.8</v>
      </c>
      <c r="M1417" s="9">
        <f t="shared" si="92"/>
        <v>2335.9699999999998</v>
      </c>
      <c r="N1417" s="948">
        <v>0</v>
      </c>
      <c r="O1417" s="900">
        <f t="shared" si="94"/>
        <v>4.7</v>
      </c>
      <c r="P1417" s="901">
        <f t="shared" si="93"/>
        <v>10979.06</v>
      </c>
      <c r="Q1417" s="873"/>
      <c r="R1417" s="873"/>
      <c r="S1417" s="840"/>
      <c r="T1417" s="853"/>
    </row>
    <row r="1418" spans="1:20" s="610" customFormat="1" ht="25.5">
      <c r="A1418" s="915" t="s">
        <v>2456</v>
      </c>
      <c r="B1418" s="919"/>
      <c r="C1418" s="913"/>
      <c r="D1418" s="49" t="s">
        <v>356</v>
      </c>
      <c r="E1418" s="833" t="s">
        <v>1943</v>
      </c>
      <c r="F1418" s="20"/>
      <c r="G1418" s="116" t="s">
        <v>1712</v>
      </c>
      <c r="H1418" s="119" t="s">
        <v>110</v>
      </c>
      <c r="I1418" s="121">
        <v>0.61</v>
      </c>
      <c r="J1418" s="120">
        <v>2446</v>
      </c>
      <c r="K1418" s="9">
        <f>J1418*$S$3</f>
        <v>3204.26</v>
      </c>
      <c r="L1418" s="120">
        <v>16.8</v>
      </c>
      <c r="M1418" s="9">
        <f t="shared" si="92"/>
        <v>3742.58</v>
      </c>
      <c r="N1418" s="948">
        <v>0</v>
      </c>
      <c r="O1418" s="900">
        <f t="shared" si="94"/>
        <v>0.61</v>
      </c>
      <c r="P1418" s="901">
        <f t="shared" si="93"/>
        <v>2282.9699999999998</v>
      </c>
      <c r="Q1418" s="873"/>
      <c r="R1418" s="873"/>
      <c r="S1418" s="840"/>
      <c r="T1418" s="853"/>
    </row>
    <row r="1419" spans="1:20" s="610" customFormat="1" ht="25.5">
      <c r="A1419" s="915" t="s">
        <v>2456</v>
      </c>
      <c r="B1419" s="919"/>
      <c r="C1419" s="913"/>
      <c r="D1419" s="49" t="s">
        <v>354</v>
      </c>
      <c r="E1419" s="833" t="s">
        <v>1943</v>
      </c>
      <c r="F1419" s="20"/>
      <c r="G1419" s="116" t="s">
        <v>1711</v>
      </c>
      <c r="H1419" s="119" t="s">
        <v>110</v>
      </c>
      <c r="I1419" s="121">
        <v>0.85</v>
      </c>
      <c r="J1419" s="120">
        <v>2446</v>
      </c>
      <c r="K1419" s="9">
        <f>J1419*$S$3</f>
        <v>3204.26</v>
      </c>
      <c r="L1419" s="120">
        <v>16.8</v>
      </c>
      <c r="M1419" s="9">
        <f t="shared" si="92"/>
        <v>3742.58</v>
      </c>
      <c r="N1419" s="948">
        <v>0</v>
      </c>
      <c r="O1419" s="900">
        <f t="shared" si="94"/>
        <v>0.85</v>
      </c>
      <c r="P1419" s="901">
        <f t="shared" si="93"/>
        <v>3181.19</v>
      </c>
      <c r="Q1419" s="873"/>
      <c r="R1419" s="873"/>
      <c r="S1419" s="840"/>
      <c r="T1419" s="853"/>
    </row>
    <row r="1420" spans="1:20">
      <c r="D1420" s="126" t="s">
        <v>14</v>
      </c>
      <c r="E1420" s="127"/>
      <c r="F1420" s="123"/>
      <c r="G1420" s="116" t="s">
        <v>522</v>
      </c>
      <c r="H1420" s="283"/>
      <c r="I1420" s="120"/>
      <c r="J1420" s="120"/>
      <c r="K1420" s="120"/>
      <c r="L1420" s="120"/>
      <c r="M1420" s="9"/>
      <c r="N1420" s="948"/>
      <c r="O1420" s="900"/>
      <c r="P1420" s="901"/>
      <c r="Q1420" s="874"/>
      <c r="R1420" s="874"/>
      <c r="S1420" s="841"/>
      <c r="T1420" s="854"/>
    </row>
    <row r="1421" spans="1:20" s="610" customFormat="1" ht="25.5">
      <c r="A1421" s="915" t="s">
        <v>2456</v>
      </c>
      <c r="B1421" s="919"/>
      <c r="C1421" s="913"/>
      <c r="D1421" s="49" t="s">
        <v>181</v>
      </c>
      <c r="E1421" s="833" t="s">
        <v>502</v>
      </c>
      <c r="F1421" s="20"/>
      <c r="G1421" s="116" t="s">
        <v>1710</v>
      </c>
      <c r="H1421" s="119" t="s">
        <v>246</v>
      </c>
      <c r="I1421" s="121">
        <v>2</v>
      </c>
      <c r="J1421" s="120">
        <v>875.7</v>
      </c>
      <c r="K1421" s="9">
        <f>J1421*$S$3</f>
        <v>1147.1670000000001</v>
      </c>
      <c r="L1421" s="120">
        <v>16.8</v>
      </c>
      <c r="M1421" s="9">
        <f t="shared" si="92"/>
        <v>1339.89</v>
      </c>
      <c r="N1421" s="948">
        <v>0</v>
      </c>
      <c r="O1421" s="900">
        <f t="shared" si="94"/>
        <v>2</v>
      </c>
      <c r="P1421" s="901">
        <f t="shared" si="93"/>
        <v>2679.78</v>
      </c>
      <c r="Q1421" s="873"/>
      <c r="R1421" s="873"/>
      <c r="S1421" s="840"/>
      <c r="T1421" s="853"/>
    </row>
    <row r="1422" spans="1:20" s="610" customFormat="1" ht="25.5">
      <c r="A1422" s="915" t="s">
        <v>2456</v>
      </c>
      <c r="B1422" s="919"/>
      <c r="C1422" s="913"/>
      <c r="D1422" s="49" t="s">
        <v>180</v>
      </c>
      <c r="E1422" s="833" t="s">
        <v>490</v>
      </c>
      <c r="F1422" s="20"/>
      <c r="G1422" s="206" t="s">
        <v>1709</v>
      </c>
      <c r="H1422" s="18" t="s">
        <v>246</v>
      </c>
      <c r="I1422" s="51">
        <v>1</v>
      </c>
      <c r="J1422" s="120">
        <v>648.9</v>
      </c>
      <c r="K1422" s="9">
        <f>J1422*$S$3</f>
        <v>850.05899999999997</v>
      </c>
      <c r="L1422" s="120">
        <v>16.8</v>
      </c>
      <c r="M1422" s="9">
        <f t="shared" si="92"/>
        <v>992.87</v>
      </c>
      <c r="N1422" s="948">
        <v>0</v>
      </c>
      <c r="O1422" s="900">
        <f t="shared" si="94"/>
        <v>1</v>
      </c>
      <c r="P1422" s="901">
        <f t="shared" si="93"/>
        <v>992.87</v>
      </c>
      <c r="Q1422" s="873"/>
      <c r="R1422" s="873"/>
      <c r="S1422" s="840"/>
      <c r="T1422" s="853"/>
    </row>
    <row r="1423" spans="1:20" s="610" customFormat="1" ht="25.5">
      <c r="A1423" s="915" t="s">
        <v>2456</v>
      </c>
      <c r="B1423" s="919"/>
      <c r="C1423" s="913"/>
      <c r="D1423" s="49" t="s">
        <v>179</v>
      </c>
      <c r="E1423" s="833" t="s">
        <v>1944</v>
      </c>
      <c r="F1423" s="20"/>
      <c r="G1423" s="206" t="s">
        <v>1708</v>
      </c>
      <c r="H1423" s="18" t="s">
        <v>246</v>
      </c>
      <c r="I1423" s="51">
        <v>2</v>
      </c>
      <c r="J1423" s="120">
        <v>3074.4</v>
      </c>
      <c r="K1423" s="9">
        <f>J1423*$S$3</f>
        <v>4027.4640000000004</v>
      </c>
      <c r="L1423" s="120">
        <v>16.8</v>
      </c>
      <c r="M1423" s="9">
        <f t="shared" si="92"/>
        <v>4704.08</v>
      </c>
      <c r="N1423" s="948">
        <v>0</v>
      </c>
      <c r="O1423" s="900">
        <f t="shared" si="94"/>
        <v>2</v>
      </c>
      <c r="P1423" s="901">
        <f t="shared" si="93"/>
        <v>9408.16</v>
      </c>
      <c r="Q1423" s="873"/>
      <c r="R1423" s="873"/>
      <c r="S1423" s="840"/>
      <c r="T1423" s="853"/>
    </row>
    <row r="1424" spans="1:20" s="610" customFormat="1" ht="25.5">
      <c r="A1424" s="915" t="s">
        <v>2456</v>
      </c>
      <c r="B1424" s="919"/>
      <c r="C1424" s="913"/>
      <c r="D1424" s="49" t="s">
        <v>178</v>
      </c>
      <c r="E1424" s="833" t="s">
        <v>1706</v>
      </c>
      <c r="F1424" s="20"/>
      <c r="G1424" s="206" t="s">
        <v>1707</v>
      </c>
      <c r="H1424" s="18" t="s">
        <v>246</v>
      </c>
      <c r="I1424" s="51">
        <v>2</v>
      </c>
      <c r="J1424" s="120">
        <v>687.78</v>
      </c>
      <c r="K1424" s="9">
        <f>J1424*$S$3</f>
        <v>900.99180000000001</v>
      </c>
      <c r="L1424" s="120">
        <v>16.8</v>
      </c>
      <c r="M1424" s="9">
        <f t="shared" si="92"/>
        <v>1052.3599999999999</v>
      </c>
      <c r="N1424" s="948">
        <v>0</v>
      </c>
      <c r="O1424" s="900">
        <f t="shared" si="94"/>
        <v>2</v>
      </c>
      <c r="P1424" s="901">
        <f t="shared" si="93"/>
        <v>2104.7199999999998</v>
      </c>
      <c r="Q1424" s="873"/>
      <c r="R1424" s="873"/>
      <c r="S1424" s="840"/>
      <c r="T1424" s="853"/>
    </row>
    <row r="1425" spans="1:20" s="610" customFormat="1" ht="25.5">
      <c r="A1425" s="915" t="s">
        <v>2456</v>
      </c>
      <c r="B1425" s="919"/>
      <c r="C1425" s="913"/>
      <c r="D1425" s="49" t="s">
        <v>177</v>
      </c>
      <c r="E1425" s="833" t="s">
        <v>1945</v>
      </c>
      <c r="F1425" s="20"/>
      <c r="G1425" s="206" t="s">
        <v>1705</v>
      </c>
      <c r="H1425" s="18" t="s">
        <v>246</v>
      </c>
      <c r="I1425" s="51">
        <v>1</v>
      </c>
      <c r="J1425" s="120">
        <v>4012</v>
      </c>
      <c r="K1425" s="9">
        <f>J1425*$S$3</f>
        <v>5255.72</v>
      </c>
      <c r="L1425" s="120">
        <v>16.8</v>
      </c>
      <c r="M1425" s="9">
        <f t="shared" ref="M1425:M1488" si="96">ROUND(K1425*(L1425/100+1),2)</f>
        <v>6138.68</v>
      </c>
      <c r="N1425" s="948">
        <v>0</v>
      </c>
      <c r="O1425" s="900">
        <f t="shared" si="94"/>
        <v>1</v>
      </c>
      <c r="P1425" s="901">
        <f t="shared" ref="P1425:P1488" si="97">ROUND(O1425*M1425,2)</f>
        <v>6138.68</v>
      </c>
      <c r="Q1425" s="873"/>
      <c r="R1425" s="873"/>
      <c r="S1425" s="840"/>
      <c r="T1425" s="853"/>
    </row>
    <row r="1426" spans="1:20">
      <c r="D1426" s="49" t="s">
        <v>13</v>
      </c>
      <c r="E1426" s="820"/>
      <c r="F1426" s="87"/>
      <c r="G1426" s="206" t="s">
        <v>1704</v>
      </c>
      <c r="H1426" s="18"/>
      <c r="I1426" s="51"/>
      <c r="J1426" s="20"/>
      <c r="K1426" s="20"/>
      <c r="L1426" s="120"/>
      <c r="M1426" s="9"/>
      <c r="N1426" s="948"/>
      <c r="O1426" s="900"/>
      <c r="P1426" s="901"/>
      <c r="Q1426" s="874"/>
      <c r="R1426" s="874"/>
      <c r="S1426" s="841"/>
      <c r="T1426" s="854"/>
    </row>
    <row r="1427" spans="1:20" s="344" customFormat="1" ht="25.5">
      <c r="A1427" s="915"/>
      <c r="B1427" s="919"/>
      <c r="C1427" s="913"/>
      <c r="D1427" s="49" t="s">
        <v>167</v>
      </c>
      <c r="E1427" s="805">
        <f>'[3]Plan Tron'!B424</f>
        <v>21015</v>
      </c>
      <c r="F1427" s="805" t="str">
        <f>'[3]Plan Tron'!C424</f>
        <v>SINAPI (INSUMO)</v>
      </c>
      <c r="G1427" s="643" t="str">
        <f>'[3]Plan Tron'!D424</f>
        <v>TUBO ACO GALVANIZADO COM COSTURA, CLASSE LEVE, DN 80 MM ( 3"), E = 3,35 MM, *7,32* KG/M (NBR 5580)</v>
      </c>
      <c r="H1427" s="805" t="str">
        <f>'[3]Plan Tron'!E424</f>
        <v>M</v>
      </c>
      <c r="I1427" s="51">
        <f>1.6*2</f>
        <v>3.2</v>
      </c>
      <c r="J1427" s="20">
        <f>J476</f>
        <v>60.71</v>
      </c>
      <c r="K1427" s="20">
        <f>'[3]Plan Tron'!F424</f>
        <v>54.19</v>
      </c>
      <c r="L1427" s="120">
        <v>16.8</v>
      </c>
      <c r="M1427" s="9">
        <f t="shared" si="96"/>
        <v>63.29</v>
      </c>
      <c r="N1427" s="948">
        <v>0</v>
      </c>
      <c r="O1427" s="900">
        <f t="shared" si="94"/>
        <v>3.2</v>
      </c>
      <c r="P1427" s="901">
        <f t="shared" si="97"/>
        <v>202.53</v>
      </c>
      <c r="Q1427" s="874"/>
      <c r="R1427" s="874"/>
      <c r="S1427" s="841"/>
      <c r="T1427" s="854"/>
    </row>
    <row r="1428" spans="1:20" s="308" customFormat="1" ht="25.5">
      <c r="A1428" s="915"/>
      <c r="B1428" s="919" t="s">
        <v>2457</v>
      </c>
      <c r="C1428" s="913"/>
      <c r="D1428" s="49" t="s">
        <v>166</v>
      </c>
      <c r="E1428" s="830" t="s">
        <v>898</v>
      </c>
      <c r="F1428" s="805" t="s">
        <v>2017</v>
      </c>
      <c r="G1428" s="206" t="s">
        <v>1703</v>
      </c>
      <c r="H1428" s="18" t="s">
        <v>110</v>
      </c>
      <c r="I1428" s="51">
        <f>0.12*9</f>
        <v>1.08</v>
      </c>
      <c r="J1428" s="20">
        <f>J476</f>
        <v>60.71</v>
      </c>
      <c r="K1428" s="9">
        <f>J1428*$S$3</f>
        <v>79.530100000000004</v>
      </c>
      <c r="L1428" s="120">
        <v>16.8</v>
      </c>
      <c r="M1428" s="9">
        <f t="shared" si="96"/>
        <v>92.89</v>
      </c>
      <c r="N1428" s="948">
        <v>0</v>
      </c>
      <c r="O1428" s="900">
        <f t="shared" si="94"/>
        <v>1.08</v>
      </c>
      <c r="P1428" s="901">
        <f t="shared" si="97"/>
        <v>100.32</v>
      </c>
      <c r="Q1428" s="878"/>
      <c r="R1428" s="878"/>
      <c r="S1428" s="846"/>
      <c r="T1428" s="859"/>
    </row>
    <row r="1429" spans="1:20" s="308" customFormat="1" ht="25.5">
      <c r="A1429" s="915"/>
      <c r="B1429" s="919" t="s">
        <v>2457</v>
      </c>
      <c r="C1429" s="913"/>
      <c r="D1429" s="49" t="s">
        <v>165</v>
      </c>
      <c r="E1429" s="833" t="str">
        <f>E1428</f>
        <v>00021015</v>
      </c>
      <c r="F1429" s="805" t="s">
        <v>2017</v>
      </c>
      <c r="G1429" s="206" t="s">
        <v>1702</v>
      </c>
      <c r="H1429" s="18" t="s">
        <v>110</v>
      </c>
      <c r="I1429" s="51">
        <v>0.24</v>
      </c>
      <c r="J1429" s="20">
        <f>J476</f>
        <v>60.71</v>
      </c>
      <c r="K1429" s="9">
        <f>J1429*$S$3</f>
        <v>79.530100000000004</v>
      </c>
      <c r="L1429" s="120">
        <v>16.8</v>
      </c>
      <c r="M1429" s="9">
        <f t="shared" si="96"/>
        <v>92.89</v>
      </c>
      <c r="N1429" s="948">
        <v>0</v>
      </c>
      <c r="O1429" s="900">
        <f t="shared" si="94"/>
        <v>0.24</v>
      </c>
      <c r="P1429" s="901">
        <f t="shared" si="97"/>
        <v>22.29</v>
      </c>
      <c r="Q1429" s="878"/>
      <c r="R1429" s="878"/>
      <c r="S1429" s="846"/>
      <c r="T1429" s="859"/>
    </row>
    <row r="1430" spans="1:20" s="308" customFormat="1" ht="25.5">
      <c r="A1430" s="915"/>
      <c r="B1430" s="919" t="s">
        <v>2457</v>
      </c>
      <c r="C1430" s="913"/>
      <c r="D1430" s="49" t="s">
        <v>164</v>
      </c>
      <c r="E1430" s="833" t="str">
        <f>E1429</f>
        <v>00021015</v>
      </c>
      <c r="F1430" s="805" t="s">
        <v>2017</v>
      </c>
      <c r="G1430" s="206" t="s">
        <v>1701</v>
      </c>
      <c r="H1430" s="18" t="s">
        <v>110</v>
      </c>
      <c r="I1430" s="51">
        <v>0.27</v>
      </c>
      <c r="J1430" s="20">
        <f>J476</f>
        <v>60.71</v>
      </c>
      <c r="K1430" s="9">
        <f>J1430*$S$3</f>
        <v>79.530100000000004</v>
      </c>
      <c r="L1430" s="120">
        <v>16.8</v>
      </c>
      <c r="M1430" s="9">
        <f t="shared" si="96"/>
        <v>92.89</v>
      </c>
      <c r="N1430" s="948">
        <v>0</v>
      </c>
      <c r="O1430" s="900">
        <f t="shared" si="94"/>
        <v>0.27</v>
      </c>
      <c r="P1430" s="901">
        <f t="shared" si="97"/>
        <v>25.08</v>
      </c>
      <c r="Q1430" s="878"/>
      <c r="R1430" s="878"/>
      <c r="S1430" s="846"/>
      <c r="T1430" s="859"/>
    </row>
    <row r="1431" spans="1:20" s="308" customFormat="1" ht="25.5">
      <c r="A1431" s="915"/>
      <c r="B1431" s="919" t="s">
        <v>2457</v>
      </c>
      <c r="C1431" s="913"/>
      <c r="D1431" s="49" t="s">
        <v>1309</v>
      </c>
      <c r="E1431" s="833">
        <f>E1427</f>
        <v>21015</v>
      </c>
      <c r="F1431" s="805" t="s">
        <v>2017</v>
      </c>
      <c r="G1431" s="206" t="s">
        <v>1700</v>
      </c>
      <c r="H1431" s="18" t="s">
        <v>110</v>
      </c>
      <c r="I1431" s="51">
        <v>1.5</v>
      </c>
      <c r="J1431" s="20">
        <f>J476</f>
        <v>60.71</v>
      </c>
      <c r="K1431" s="9">
        <f>J1431*$S$3</f>
        <v>79.530100000000004</v>
      </c>
      <c r="L1431" s="120">
        <v>16.8</v>
      </c>
      <c r="M1431" s="9">
        <f t="shared" si="96"/>
        <v>92.89</v>
      </c>
      <c r="N1431" s="948">
        <v>0</v>
      </c>
      <c r="O1431" s="900">
        <f t="shared" si="94"/>
        <v>1.5</v>
      </c>
      <c r="P1431" s="901">
        <f t="shared" si="97"/>
        <v>139.34</v>
      </c>
      <c r="Q1431" s="878"/>
      <c r="R1431" s="878"/>
      <c r="S1431" s="846"/>
      <c r="T1431" s="859"/>
    </row>
    <row r="1432" spans="1:20" s="344" customFormat="1" ht="25.5">
      <c r="A1432" s="915"/>
      <c r="B1432" s="919"/>
      <c r="C1432" s="913"/>
      <c r="D1432" s="49" t="s">
        <v>1308</v>
      </c>
      <c r="E1432" s="805">
        <f>'[3]Plan Tron'!B242</f>
        <v>21015</v>
      </c>
      <c r="F1432" s="805" t="str">
        <f>'[3]Plan Tron'!C242</f>
        <v>SINAPI (INSUMO)</v>
      </c>
      <c r="G1432" s="643" t="str">
        <f>'[3]Plan Tron'!D242</f>
        <v>TUBO ACO GALVANIZADO COM COSTURA, CLASSE LEVE, DN 80 MM ( 3"), E = 3,35 MM, *7,32* KG/M (NBR 5580)</v>
      </c>
      <c r="H1432" s="805" t="str">
        <f>'[3]Plan Tron'!E242</f>
        <v>M</v>
      </c>
      <c r="I1432" s="51">
        <v>3.5</v>
      </c>
      <c r="J1432" s="20">
        <f>J476</f>
        <v>60.71</v>
      </c>
      <c r="K1432" s="20">
        <f>'[3]Plan Tron'!F242</f>
        <v>54.19</v>
      </c>
      <c r="L1432" s="120">
        <v>16.8</v>
      </c>
      <c r="M1432" s="9">
        <f t="shared" si="96"/>
        <v>63.29</v>
      </c>
      <c r="N1432" s="948">
        <v>0</v>
      </c>
      <c r="O1432" s="900">
        <f t="shared" si="94"/>
        <v>3.5</v>
      </c>
      <c r="P1432" s="901">
        <f t="shared" si="97"/>
        <v>221.52</v>
      </c>
      <c r="Q1432" s="874"/>
      <c r="R1432" s="874"/>
      <c r="S1432" s="841"/>
      <c r="T1432" s="854"/>
    </row>
    <row r="1433" spans="1:20" s="308" customFormat="1" ht="25.5" hidden="1">
      <c r="A1433" s="915"/>
      <c r="B1433" s="919" t="s">
        <v>2457</v>
      </c>
      <c r="C1433" s="913"/>
      <c r="D1433" s="49" t="s">
        <v>1307</v>
      </c>
      <c r="E1433" s="833">
        <f>E1432</f>
        <v>21015</v>
      </c>
      <c r="F1433" s="805" t="s">
        <v>2017</v>
      </c>
      <c r="G1433" s="206" t="s">
        <v>1699</v>
      </c>
      <c r="H1433" s="18" t="s">
        <v>110</v>
      </c>
      <c r="I1433" s="51">
        <v>4.1500000000000004</v>
      </c>
      <c r="J1433" s="20">
        <f>J476</f>
        <v>60.71</v>
      </c>
      <c r="K1433" s="20"/>
      <c r="L1433" s="120">
        <v>16.8</v>
      </c>
      <c r="M1433" s="9">
        <f t="shared" si="96"/>
        <v>0</v>
      </c>
      <c r="N1433" s="948">
        <v>0</v>
      </c>
      <c r="O1433" s="900">
        <f t="shared" si="94"/>
        <v>4.1500000000000004</v>
      </c>
      <c r="P1433" s="901">
        <f t="shared" si="97"/>
        <v>0</v>
      </c>
      <c r="Q1433" s="878"/>
      <c r="R1433" s="878"/>
      <c r="S1433" s="846"/>
      <c r="T1433" s="859"/>
    </row>
    <row r="1434" spans="1:20">
      <c r="D1434" s="49"/>
      <c r="E1434" s="833"/>
      <c r="F1434" s="20"/>
      <c r="G1434" s="206"/>
      <c r="H1434" s="18"/>
      <c r="I1434" s="51"/>
      <c r="J1434" s="20"/>
      <c r="K1434" s="20"/>
      <c r="L1434" s="120"/>
      <c r="M1434" s="9"/>
      <c r="N1434" s="948"/>
      <c r="O1434" s="900"/>
      <c r="P1434" s="901"/>
      <c r="Q1434" s="874"/>
      <c r="R1434" s="874"/>
      <c r="S1434" s="841"/>
      <c r="T1434" s="854"/>
    </row>
    <row r="1435" spans="1:20">
      <c r="D1435" s="49"/>
      <c r="E1435" s="833"/>
      <c r="F1435" s="20"/>
      <c r="G1435" s="206"/>
      <c r="H1435" s="18"/>
      <c r="I1435" s="51"/>
      <c r="J1435" s="20"/>
      <c r="K1435" s="20"/>
      <c r="L1435" s="120"/>
      <c r="M1435" s="9"/>
      <c r="N1435" s="948"/>
      <c r="O1435" s="900"/>
      <c r="P1435" s="901"/>
      <c r="Q1435" s="874"/>
      <c r="R1435" s="874"/>
      <c r="S1435" s="841"/>
      <c r="T1435" s="854"/>
    </row>
    <row r="1436" spans="1:20">
      <c r="D1436" s="49" t="s">
        <v>12</v>
      </c>
      <c r="E1436" s="820"/>
      <c r="F1436" s="87"/>
      <c r="G1436" s="206" t="s">
        <v>1698</v>
      </c>
      <c r="H1436" s="18"/>
      <c r="I1436" s="51"/>
      <c r="J1436" s="20"/>
      <c r="K1436" s="20"/>
      <c r="L1436" s="120"/>
      <c r="M1436" s="9"/>
      <c r="N1436" s="948"/>
      <c r="O1436" s="900"/>
      <c r="P1436" s="901"/>
      <c r="Q1436" s="874"/>
      <c r="R1436" s="874"/>
      <c r="S1436" s="841"/>
      <c r="T1436" s="854"/>
    </row>
    <row r="1437" spans="1:20" s="344" customFormat="1" ht="25.5">
      <c r="A1437" s="915"/>
      <c r="B1437" s="919"/>
      <c r="C1437" s="913"/>
      <c r="D1437" s="49" t="s">
        <v>162</v>
      </c>
      <c r="E1437" s="805">
        <f>'[3]Plan Tron'!B425</f>
        <v>12429</v>
      </c>
      <c r="F1437" s="805" t="str">
        <f>'[3]Plan Tron'!C425</f>
        <v>SINAPI (INSUMO)</v>
      </c>
      <c r="G1437" s="643" t="str">
        <f>'[3]Plan Tron'!D425</f>
        <v xml:space="preserve"> UNIAO COM ASSENTO CONICO DE BRONZE, DIAMETRO 3" </v>
      </c>
      <c r="H1437" s="805" t="str">
        <f>'[3]Plan Tron'!E425</f>
        <v xml:space="preserve">UN </v>
      </c>
      <c r="I1437" s="51">
        <v>6</v>
      </c>
      <c r="J1437" s="20">
        <v>203.58</v>
      </c>
      <c r="K1437" s="20">
        <f>'[3]Plan Tron'!F425</f>
        <v>232.28</v>
      </c>
      <c r="L1437" s="120">
        <v>16.8</v>
      </c>
      <c r="M1437" s="9">
        <f t="shared" si="96"/>
        <v>271.3</v>
      </c>
      <c r="N1437" s="948">
        <v>0</v>
      </c>
      <c r="O1437" s="900">
        <f t="shared" si="94"/>
        <v>6</v>
      </c>
      <c r="P1437" s="901">
        <f t="shared" si="97"/>
        <v>1627.8</v>
      </c>
      <c r="Q1437" s="874"/>
      <c r="R1437" s="874"/>
      <c r="S1437" s="841"/>
      <c r="T1437" s="854"/>
    </row>
    <row r="1438" spans="1:20" s="610" customFormat="1">
      <c r="A1438" s="915"/>
      <c r="B1438" s="919" t="s">
        <v>2457</v>
      </c>
      <c r="C1438" s="913"/>
      <c r="D1438" s="49" t="s">
        <v>1406</v>
      </c>
      <c r="E1438" s="832" t="s">
        <v>1919</v>
      </c>
      <c r="F1438" s="217"/>
      <c r="G1438" s="206" t="s">
        <v>1697</v>
      </c>
      <c r="H1438" s="18" t="s">
        <v>246</v>
      </c>
      <c r="I1438" s="51">
        <v>2</v>
      </c>
      <c r="J1438" s="20">
        <v>400</v>
      </c>
      <c r="K1438" s="9">
        <f>J1438*$S$3</f>
        <v>524</v>
      </c>
      <c r="L1438" s="120">
        <v>16.8</v>
      </c>
      <c r="M1438" s="9">
        <f t="shared" si="96"/>
        <v>612.03</v>
      </c>
      <c r="N1438" s="948">
        <v>0</v>
      </c>
      <c r="O1438" s="900">
        <f t="shared" si="94"/>
        <v>2</v>
      </c>
      <c r="P1438" s="901">
        <f t="shared" si="97"/>
        <v>1224.06</v>
      </c>
      <c r="Q1438" s="873"/>
      <c r="R1438" s="873"/>
      <c r="S1438" s="840"/>
      <c r="T1438" s="853"/>
    </row>
    <row r="1439" spans="1:20" s="344" customFormat="1" ht="25.5">
      <c r="A1439" s="915"/>
      <c r="B1439" s="919"/>
      <c r="C1439" s="913"/>
      <c r="D1439" s="49" t="s">
        <v>1405</v>
      </c>
      <c r="E1439" s="805">
        <f>'[3]Plan Tron'!B426</f>
        <v>6322</v>
      </c>
      <c r="F1439" s="805" t="str">
        <f>'[3]Plan Tron'!C426</f>
        <v>SINAPI (INSUMO)</v>
      </c>
      <c r="G1439" s="643" t="str">
        <f>'[3]Plan Tron'!D426</f>
        <v xml:space="preserve">TE DE FERRO GALVANIZADO, DE 3" </v>
      </c>
      <c r="H1439" s="805" t="str">
        <f>'[3]Plan Tron'!E426</f>
        <v xml:space="preserve">UN </v>
      </c>
      <c r="I1439" s="51">
        <v>1</v>
      </c>
      <c r="J1439" s="20">
        <v>79.34</v>
      </c>
      <c r="K1439" s="20">
        <f>'[3]Plan Tron'!F426</f>
        <v>93.58</v>
      </c>
      <c r="L1439" s="120">
        <v>16.8</v>
      </c>
      <c r="M1439" s="9">
        <f t="shared" si="96"/>
        <v>109.3</v>
      </c>
      <c r="N1439" s="948">
        <v>0</v>
      </c>
      <c r="O1439" s="900">
        <f t="shared" si="94"/>
        <v>1</v>
      </c>
      <c r="P1439" s="901">
        <f t="shared" si="97"/>
        <v>109.3</v>
      </c>
      <c r="Q1439" s="874"/>
      <c r="R1439" s="874"/>
      <c r="S1439" s="841"/>
      <c r="T1439" s="854"/>
    </row>
    <row r="1440" spans="1:20" s="610" customFormat="1">
      <c r="A1440" s="915"/>
      <c r="B1440" s="919" t="s">
        <v>2457</v>
      </c>
      <c r="C1440" s="913"/>
      <c r="D1440" s="49" t="s">
        <v>1696</v>
      </c>
      <c r="E1440" s="832" t="s">
        <v>1946</v>
      </c>
      <c r="F1440" s="217"/>
      <c r="G1440" s="206" t="s">
        <v>1695</v>
      </c>
      <c r="H1440" s="18" t="s">
        <v>246</v>
      </c>
      <c r="I1440" s="51">
        <v>1</v>
      </c>
      <c r="J1440" s="20">
        <v>95.8</v>
      </c>
      <c r="K1440" s="9">
        <f>J1440*$S$3</f>
        <v>125.498</v>
      </c>
      <c r="L1440" s="120">
        <v>16.8</v>
      </c>
      <c r="M1440" s="9">
        <f t="shared" si="96"/>
        <v>146.58000000000001</v>
      </c>
      <c r="N1440" s="948">
        <v>0</v>
      </c>
      <c r="O1440" s="900">
        <f t="shared" si="94"/>
        <v>1</v>
      </c>
      <c r="P1440" s="901">
        <f t="shared" si="97"/>
        <v>146.58000000000001</v>
      </c>
      <c r="Q1440" s="873"/>
      <c r="R1440" s="873"/>
      <c r="S1440" s="840"/>
      <c r="T1440" s="853"/>
    </row>
    <row r="1441" spans="1:20" s="610" customFormat="1">
      <c r="A1441" s="915"/>
      <c r="B1441" s="919" t="s">
        <v>2457</v>
      </c>
      <c r="C1441" s="913"/>
      <c r="D1441" s="49" t="s">
        <v>1694</v>
      </c>
      <c r="E1441" s="832" t="s">
        <v>1947</v>
      </c>
      <c r="F1441" s="217"/>
      <c r="G1441" s="206" t="s">
        <v>1693</v>
      </c>
      <c r="H1441" s="18" t="s">
        <v>246</v>
      </c>
      <c r="I1441" s="51">
        <v>1</v>
      </c>
      <c r="J1441" s="20">
        <v>117.43</v>
      </c>
      <c r="K1441" s="9">
        <f>J1441*$S$3</f>
        <v>153.83330000000001</v>
      </c>
      <c r="L1441" s="120">
        <v>16.8</v>
      </c>
      <c r="M1441" s="9">
        <f t="shared" si="96"/>
        <v>179.68</v>
      </c>
      <c r="N1441" s="948">
        <v>0</v>
      </c>
      <c r="O1441" s="900">
        <f t="shared" si="94"/>
        <v>1</v>
      </c>
      <c r="P1441" s="901">
        <f t="shared" si="97"/>
        <v>179.68</v>
      </c>
      <c r="Q1441" s="873"/>
      <c r="R1441" s="873"/>
      <c r="S1441" s="840"/>
      <c r="T1441" s="853"/>
    </row>
    <row r="1442" spans="1:20">
      <c r="D1442" s="49" t="s">
        <v>11</v>
      </c>
      <c r="E1442" s="832"/>
      <c r="F1442" s="217"/>
      <c r="G1442" s="206" t="s">
        <v>1303</v>
      </c>
      <c r="H1442" s="18"/>
      <c r="I1442" s="51"/>
      <c r="J1442" s="20"/>
      <c r="K1442" s="20"/>
      <c r="L1442" s="120"/>
      <c r="M1442" s="9"/>
      <c r="N1442" s="948"/>
      <c r="O1442" s="900"/>
      <c r="P1442" s="901"/>
      <c r="Q1442" s="874"/>
      <c r="R1442" s="874"/>
      <c r="S1442" s="841"/>
      <c r="T1442" s="854"/>
    </row>
    <row r="1443" spans="1:20" s="610" customFormat="1">
      <c r="A1443" s="915"/>
      <c r="B1443" s="919"/>
      <c r="C1443" s="913"/>
      <c r="D1443" s="49" t="s">
        <v>160</v>
      </c>
      <c r="E1443" s="832" t="s">
        <v>1691</v>
      </c>
      <c r="F1443" s="217"/>
      <c r="G1443" s="206" t="s">
        <v>1692</v>
      </c>
      <c r="H1443" s="18" t="s">
        <v>110</v>
      </c>
      <c r="I1443" s="51">
        <v>0.7</v>
      </c>
      <c r="J1443" s="20">
        <v>748.62</v>
      </c>
      <c r="K1443" s="9">
        <f t="shared" ref="K1443:K1451" si="98">J1443*$S$3</f>
        <v>980.69220000000007</v>
      </c>
      <c r="L1443" s="120">
        <v>16.8</v>
      </c>
      <c r="M1443" s="9">
        <f t="shared" si="96"/>
        <v>1145.45</v>
      </c>
      <c r="N1443" s="948">
        <v>0</v>
      </c>
      <c r="O1443" s="900">
        <f t="shared" ref="O1443:O1506" si="99">I1443-N1443</f>
        <v>0.7</v>
      </c>
      <c r="P1443" s="901">
        <f t="shared" si="97"/>
        <v>801.82</v>
      </c>
      <c r="Q1443" s="873"/>
      <c r="R1443" s="873"/>
      <c r="S1443" s="840"/>
      <c r="T1443" s="853"/>
    </row>
    <row r="1444" spans="1:20" s="610" customFormat="1">
      <c r="A1444" s="915"/>
      <c r="B1444" s="919"/>
      <c r="C1444" s="913"/>
      <c r="D1444" s="49" t="s">
        <v>159</v>
      </c>
      <c r="E1444" s="832" t="s">
        <v>1495</v>
      </c>
      <c r="F1444" s="217"/>
      <c r="G1444" s="206" t="s">
        <v>1690</v>
      </c>
      <c r="H1444" s="18" t="s">
        <v>110</v>
      </c>
      <c r="I1444" s="51">
        <v>3.8</v>
      </c>
      <c r="J1444" s="20">
        <v>180.79</v>
      </c>
      <c r="K1444" s="9">
        <f t="shared" si="98"/>
        <v>236.8349</v>
      </c>
      <c r="L1444" s="120">
        <v>16.8</v>
      </c>
      <c r="M1444" s="9">
        <f t="shared" si="96"/>
        <v>276.62</v>
      </c>
      <c r="N1444" s="948">
        <v>0</v>
      </c>
      <c r="O1444" s="900">
        <f t="shared" si="99"/>
        <v>3.8</v>
      </c>
      <c r="P1444" s="901">
        <f t="shared" si="97"/>
        <v>1051.1600000000001</v>
      </c>
      <c r="Q1444" s="873"/>
      <c r="R1444" s="873"/>
      <c r="S1444" s="840"/>
      <c r="T1444" s="853"/>
    </row>
    <row r="1445" spans="1:20" s="610" customFormat="1">
      <c r="A1445" s="915"/>
      <c r="B1445" s="919"/>
      <c r="C1445" s="913"/>
      <c r="D1445" s="49" t="s">
        <v>1300</v>
      </c>
      <c r="E1445" s="832" t="str">
        <f>E1444</f>
        <v>COT-H-285</v>
      </c>
      <c r="F1445" s="217"/>
      <c r="G1445" s="206" t="s">
        <v>1690</v>
      </c>
      <c r="H1445" s="18" t="s">
        <v>110</v>
      </c>
      <c r="I1445" s="51">
        <v>3.45</v>
      </c>
      <c r="J1445" s="20">
        <f>J1444</f>
        <v>180.79</v>
      </c>
      <c r="K1445" s="9">
        <f t="shared" si="98"/>
        <v>236.8349</v>
      </c>
      <c r="L1445" s="120">
        <v>16.8</v>
      </c>
      <c r="M1445" s="9">
        <f t="shared" si="96"/>
        <v>276.62</v>
      </c>
      <c r="N1445" s="948">
        <v>0</v>
      </c>
      <c r="O1445" s="900">
        <f t="shared" si="99"/>
        <v>3.45</v>
      </c>
      <c r="P1445" s="901">
        <f t="shared" si="97"/>
        <v>954.34</v>
      </c>
      <c r="Q1445" s="873"/>
      <c r="R1445" s="873"/>
      <c r="S1445" s="840"/>
      <c r="T1445" s="853"/>
    </row>
    <row r="1446" spans="1:20" s="610" customFormat="1">
      <c r="A1446" s="915"/>
      <c r="B1446" s="919"/>
      <c r="C1446" s="913"/>
      <c r="D1446" s="49" t="s">
        <v>1689</v>
      </c>
      <c r="E1446" s="832" t="s">
        <v>1687</v>
      </c>
      <c r="F1446" s="217"/>
      <c r="G1446" s="206" t="s">
        <v>1688</v>
      </c>
      <c r="H1446" s="18" t="s">
        <v>326</v>
      </c>
      <c r="I1446" s="51">
        <v>2</v>
      </c>
      <c r="J1446" s="20">
        <v>2289.2800000000002</v>
      </c>
      <c r="K1446" s="9">
        <f t="shared" si="98"/>
        <v>2998.9568000000004</v>
      </c>
      <c r="L1446" s="120">
        <v>16.8</v>
      </c>
      <c r="M1446" s="9">
        <f t="shared" si="96"/>
        <v>3502.78</v>
      </c>
      <c r="N1446" s="948">
        <v>0</v>
      </c>
      <c r="O1446" s="900">
        <f t="shared" si="99"/>
        <v>2</v>
      </c>
      <c r="P1446" s="901">
        <f t="shared" si="97"/>
        <v>7005.56</v>
      </c>
      <c r="Q1446" s="873"/>
      <c r="R1446" s="873"/>
      <c r="S1446" s="840"/>
      <c r="T1446" s="853"/>
    </row>
    <row r="1447" spans="1:20" s="610" customFormat="1">
      <c r="A1447" s="915"/>
      <c r="B1447" s="919"/>
      <c r="C1447" s="913"/>
      <c r="D1447" s="49" t="s">
        <v>1686</v>
      </c>
      <c r="E1447" s="832" t="s">
        <v>1684</v>
      </c>
      <c r="F1447" s="217"/>
      <c r="G1447" s="206" t="s">
        <v>1685</v>
      </c>
      <c r="H1447" s="18" t="s">
        <v>326</v>
      </c>
      <c r="I1447" s="51">
        <v>1</v>
      </c>
      <c r="J1447" s="20">
        <v>6630.02</v>
      </c>
      <c r="K1447" s="9">
        <f t="shared" si="98"/>
        <v>8685.3262000000013</v>
      </c>
      <c r="L1447" s="120">
        <v>16.8</v>
      </c>
      <c r="M1447" s="9">
        <f t="shared" si="96"/>
        <v>10144.459999999999</v>
      </c>
      <c r="N1447" s="948">
        <v>0</v>
      </c>
      <c r="O1447" s="900">
        <f t="shared" si="99"/>
        <v>1</v>
      </c>
      <c r="P1447" s="901">
        <f t="shared" si="97"/>
        <v>10144.459999999999</v>
      </c>
      <c r="Q1447" s="873"/>
      <c r="R1447" s="873"/>
      <c r="S1447" s="840"/>
      <c r="T1447" s="853"/>
    </row>
    <row r="1448" spans="1:20" s="610" customFormat="1" ht="25.5">
      <c r="A1448" s="915"/>
      <c r="B1448" s="919"/>
      <c r="C1448" s="913"/>
      <c r="D1448" s="49" t="s">
        <v>1683</v>
      </c>
      <c r="E1448" s="832" t="s">
        <v>1948</v>
      </c>
      <c r="F1448" s="217"/>
      <c r="G1448" s="206" t="s">
        <v>1682</v>
      </c>
      <c r="H1448" s="18" t="s">
        <v>246</v>
      </c>
      <c r="I1448" s="51">
        <v>2</v>
      </c>
      <c r="J1448" s="20">
        <v>559.63</v>
      </c>
      <c r="K1448" s="9">
        <f t="shared" si="98"/>
        <v>733.11530000000005</v>
      </c>
      <c r="L1448" s="120">
        <v>16.8</v>
      </c>
      <c r="M1448" s="9">
        <f t="shared" si="96"/>
        <v>856.28</v>
      </c>
      <c r="N1448" s="948">
        <v>0</v>
      </c>
      <c r="O1448" s="900">
        <f t="shared" si="99"/>
        <v>2</v>
      </c>
      <c r="P1448" s="901">
        <f t="shared" si="97"/>
        <v>1712.56</v>
      </c>
      <c r="Q1448" s="873"/>
      <c r="R1448" s="873"/>
      <c r="S1448" s="840"/>
      <c r="T1448" s="853"/>
    </row>
    <row r="1449" spans="1:20" s="610" customFormat="1">
      <c r="A1449" s="915"/>
      <c r="B1449" s="919"/>
      <c r="C1449" s="913"/>
      <c r="D1449" s="49" t="s">
        <v>1681</v>
      </c>
      <c r="E1449" s="832" t="s">
        <v>1679</v>
      </c>
      <c r="F1449" s="217"/>
      <c r="G1449" s="206" t="s">
        <v>1680</v>
      </c>
      <c r="H1449" s="18" t="s">
        <v>326</v>
      </c>
      <c r="I1449" s="51">
        <v>2</v>
      </c>
      <c r="J1449" s="20">
        <v>1051.73</v>
      </c>
      <c r="K1449" s="9">
        <f t="shared" si="98"/>
        <v>1377.7663</v>
      </c>
      <c r="L1449" s="120">
        <v>16.8</v>
      </c>
      <c r="M1449" s="9">
        <f t="shared" si="96"/>
        <v>1609.23</v>
      </c>
      <c r="N1449" s="948">
        <v>0</v>
      </c>
      <c r="O1449" s="900">
        <f t="shared" si="99"/>
        <v>2</v>
      </c>
      <c r="P1449" s="901">
        <f t="shared" si="97"/>
        <v>3218.46</v>
      </c>
      <c r="Q1449" s="873"/>
      <c r="R1449" s="873"/>
      <c r="S1449" s="840"/>
      <c r="T1449" s="853"/>
    </row>
    <row r="1450" spans="1:20" s="610" customFormat="1" ht="38.25">
      <c r="A1450" s="915"/>
      <c r="B1450" s="919"/>
      <c r="C1450" s="913"/>
      <c r="D1450" s="49" t="s">
        <v>1678</v>
      </c>
      <c r="E1450" s="832" t="s">
        <v>1676</v>
      </c>
      <c r="F1450" s="217"/>
      <c r="G1450" s="206" t="s">
        <v>1677</v>
      </c>
      <c r="H1450" s="18" t="s">
        <v>246</v>
      </c>
      <c r="I1450" s="51">
        <v>1</v>
      </c>
      <c r="J1450" s="217">
        <v>854.7</v>
      </c>
      <c r="K1450" s="9">
        <f t="shared" si="98"/>
        <v>1119.6570000000002</v>
      </c>
      <c r="L1450" s="120">
        <v>16.8</v>
      </c>
      <c r="M1450" s="9">
        <f t="shared" si="96"/>
        <v>1307.76</v>
      </c>
      <c r="N1450" s="948">
        <v>0</v>
      </c>
      <c r="O1450" s="900">
        <f t="shared" si="99"/>
        <v>1</v>
      </c>
      <c r="P1450" s="901">
        <f t="shared" si="97"/>
        <v>1307.76</v>
      </c>
      <c r="Q1450" s="873"/>
      <c r="R1450" s="873"/>
      <c r="S1450" s="840"/>
      <c r="T1450" s="853"/>
    </row>
    <row r="1451" spans="1:20" s="610" customFormat="1">
      <c r="A1451" s="915"/>
      <c r="B1451" s="919"/>
      <c r="C1451" s="913"/>
      <c r="D1451" s="49" t="s">
        <v>1675</v>
      </c>
      <c r="E1451" s="832" t="s">
        <v>1949</v>
      </c>
      <c r="F1451" s="217"/>
      <c r="G1451" s="206" t="s">
        <v>1674</v>
      </c>
      <c r="H1451" s="18" t="s">
        <v>326</v>
      </c>
      <c r="I1451" s="51">
        <v>2</v>
      </c>
      <c r="J1451" s="20">
        <v>1.17</v>
      </c>
      <c r="K1451" s="9">
        <f t="shared" si="98"/>
        <v>1.5327</v>
      </c>
      <c r="L1451" s="120">
        <v>16.8</v>
      </c>
      <c r="M1451" s="9">
        <f t="shared" si="96"/>
        <v>1.79</v>
      </c>
      <c r="N1451" s="948">
        <v>0</v>
      </c>
      <c r="O1451" s="900">
        <f t="shared" si="99"/>
        <v>2</v>
      </c>
      <c r="P1451" s="901">
        <f t="shared" si="97"/>
        <v>3.58</v>
      </c>
      <c r="Q1451" s="873"/>
      <c r="R1451" s="873"/>
      <c r="S1451" s="840"/>
      <c r="T1451" s="853"/>
    </row>
    <row r="1452" spans="1:20">
      <c r="D1452" s="49"/>
      <c r="E1452" s="832"/>
      <c r="F1452" s="217"/>
      <c r="G1452" s="206"/>
      <c r="H1452" s="18"/>
      <c r="I1452" s="51"/>
      <c r="J1452" s="20"/>
      <c r="K1452" s="20"/>
      <c r="L1452" s="120"/>
      <c r="M1452" s="9"/>
      <c r="N1452" s="926"/>
      <c r="O1452" s="900"/>
      <c r="P1452" s="901"/>
      <c r="Q1452" s="874"/>
      <c r="R1452" s="874"/>
      <c r="S1452" s="841"/>
      <c r="T1452" s="854"/>
    </row>
    <row r="1453" spans="1:20">
      <c r="D1453" s="49"/>
      <c r="E1453" s="832"/>
      <c r="F1453" s="217"/>
      <c r="G1453" s="206"/>
      <c r="H1453" s="22"/>
      <c r="I1453" s="51"/>
      <c r="J1453" s="20"/>
      <c r="K1453" s="20"/>
      <c r="L1453" s="20"/>
      <c r="M1453" s="9"/>
      <c r="N1453" s="926"/>
      <c r="O1453" s="900"/>
      <c r="P1453" s="901"/>
      <c r="Q1453" s="874"/>
      <c r="R1453" s="874"/>
      <c r="S1453" s="841"/>
      <c r="T1453" s="854"/>
    </row>
    <row r="1454" spans="1:20">
      <c r="D1454" s="49"/>
      <c r="E1454" s="832"/>
      <c r="F1454" s="217"/>
      <c r="G1454" s="14"/>
      <c r="H1454" s="37"/>
      <c r="I1454" s="21"/>
      <c r="J1454" s="10"/>
      <c r="K1454" s="10"/>
      <c r="L1454" s="10"/>
      <c r="M1454" s="9"/>
      <c r="N1454" s="936"/>
      <c r="O1454" s="900"/>
      <c r="P1454" s="901"/>
      <c r="Q1454" s="874"/>
      <c r="R1454" s="874"/>
      <c r="S1454" s="841"/>
      <c r="T1454" s="854"/>
    </row>
    <row r="1455" spans="1:20" s="299" customFormat="1">
      <c r="A1455" s="918"/>
      <c r="B1455" s="922"/>
      <c r="C1455" s="924"/>
      <c r="D1455" s="929"/>
      <c r="E1455" s="930"/>
      <c r="F1455" s="929"/>
      <c r="G1455" s="930" t="s">
        <v>70</v>
      </c>
      <c r="H1455" s="929">
        <f>D1373</f>
        <v>30</v>
      </c>
      <c r="I1455" s="929"/>
      <c r="J1455" s="929"/>
      <c r="K1455" s="929"/>
      <c r="L1455" s="929"/>
      <c r="M1455" s="9"/>
      <c r="N1455" s="937"/>
      <c r="O1455" s="900"/>
      <c r="P1455" s="901">
        <f>SUM(P1380:P1451)</f>
        <v>396976.11000000004</v>
      </c>
      <c r="Q1455" s="874"/>
      <c r="R1455" s="874"/>
      <c r="S1455" s="841"/>
      <c r="T1455" s="854"/>
    </row>
    <row r="1456" spans="1:20">
      <c r="D1456" s="384"/>
      <c r="E1456" s="931"/>
      <c r="F1456" s="384"/>
      <c r="G1456" s="384"/>
      <c r="H1456" s="384"/>
      <c r="I1456" s="384"/>
      <c r="J1456" s="384"/>
      <c r="K1456" s="384"/>
      <c r="L1456" s="384"/>
      <c r="M1456" s="9"/>
      <c r="N1456" s="926"/>
      <c r="O1456" s="900"/>
      <c r="P1456" s="901"/>
      <c r="Q1456" s="874"/>
      <c r="R1456" s="874"/>
      <c r="S1456" s="841"/>
      <c r="T1456" s="854"/>
    </row>
    <row r="1457" spans="1:20" s="310" customFormat="1" ht="25.5">
      <c r="A1457" s="915"/>
      <c r="B1457" s="919"/>
      <c r="C1457" s="913"/>
      <c r="D1457" s="108" t="s">
        <v>27</v>
      </c>
      <c r="E1457" s="813"/>
      <c r="F1457" s="109"/>
      <c r="G1457" s="305" t="s">
        <v>2014</v>
      </c>
      <c r="H1457" s="109"/>
      <c r="I1457" s="109"/>
      <c r="J1457" s="109"/>
      <c r="K1457" s="109"/>
      <c r="L1457" s="109"/>
      <c r="M1457" s="791"/>
      <c r="N1457" s="378"/>
      <c r="O1457" s="792"/>
      <c r="P1457" s="864"/>
      <c r="Q1457" s="872"/>
      <c r="R1457" s="872"/>
      <c r="S1457" s="842"/>
      <c r="T1457" s="852"/>
    </row>
    <row r="1458" spans="1:20">
      <c r="D1458" s="44"/>
      <c r="E1458" s="296"/>
      <c r="F1458" s="44"/>
      <c r="G1458" s="44"/>
      <c r="H1458" s="44"/>
      <c r="I1458" s="44"/>
      <c r="J1458" s="302"/>
      <c r="K1458" s="302"/>
      <c r="L1458" s="44"/>
      <c r="M1458" s="9"/>
      <c r="N1458" s="375"/>
      <c r="O1458" s="789"/>
      <c r="P1458" s="863"/>
      <c r="Q1458" s="874"/>
      <c r="R1458" s="874"/>
      <c r="S1458" s="841"/>
      <c r="T1458" s="854"/>
    </row>
    <row r="1459" spans="1:20" ht="25.5">
      <c r="D1459" s="45"/>
      <c r="E1459" s="57"/>
      <c r="F1459" s="50"/>
      <c r="G1459" s="46" t="s">
        <v>1795</v>
      </c>
      <c r="H1459" s="75"/>
      <c r="I1459" s="76"/>
      <c r="J1459" s="10"/>
      <c r="K1459" s="10"/>
      <c r="L1459" s="10"/>
      <c r="M1459" s="9"/>
      <c r="N1459" s="926"/>
      <c r="O1459" s="900"/>
      <c r="P1459" s="901"/>
      <c r="Q1459" s="874"/>
      <c r="R1459" s="874"/>
      <c r="S1459" s="841"/>
      <c r="T1459" s="854"/>
    </row>
    <row r="1460" spans="1:20">
      <c r="D1460" s="45"/>
      <c r="E1460" s="57"/>
      <c r="F1460" s="50"/>
      <c r="G1460" s="46"/>
      <c r="H1460" s="75"/>
      <c r="I1460" s="76"/>
      <c r="J1460" s="10"/>
      <c r="K1460" s="10"/>
      <c r="L1460" s="10"/>
      <c r="M1460" s="9"/>
      <c r="N1460" s="926"/>
      <c r="O1460" s="900"/>
      <c r="P1460" s="901"/>
      <c r="Q1460" s="874"/>
      <c r="R1460" s="874"/>
      <c r="S1460" s="841"/>
      <c r="T1460" s="854"/>
    </row>
    <row r="1461" spans="1:20">
      <c r="D1461" s="45">
        <v>1</v>
      </c>
      <c r="E1461" s="57"/>
      <c r="F1461" s="50"/>
      <c r="G1461" s="46" t="s">
        <v>1794</v>
      </c>
      <c r="H1461" s="75"/>
      <c r="I1461" s="76"/>
      <c r="J1461" s="10"/>
      <c r="K1461" s="10"/>
      <c r="L1461" s="10"/>
      <c r="M1461" s="9"/>
      <c r="N1461" s="926"/>
      <c r="O1461" s="900"/>
      <c r="P1461" s="901"/>
      <c r="Q1461" s="874"/>
      <c r="R1461" s="874"/>
      <c r="S1461" s="841"/>
      <c r="T1461" s="854"/>
    </row>
    <row r="1462" spans="1:20">
      <c r="D1462" s="49" t="s">
        <v>20</v>
      </c>
      <c r="E1462" s="57"/>
      <c r="F1462" s="50"/>
      <c r="G1462" s="12" t="s">
        <v>885</v>
      </c>
      <c r="H1462" s="75"/>
      <c r="I1462" s="76"/>
      <c r="J1462" s="10"/>
      <c r="K1462" s="10"/>
      <c r="L1462" s="10"/>
      <c r="M1462" s="9"/>
      <c r="N1462" s="926"/>
      <c r="O1462" s="900"/>
      <c r="P1462" s="901"/>
      <c r="Q1462" s="874"/>
      <c r="R1462" s="874"/>
      <c r="S1462" s="841"/>
      <c r="T1462" s="854"/>
    </row>
    <row r="1463" spans="1:20" s="610" customFormat="1" ht="38.25">
      <c r="A1463" s="915"/>
      <c r="B1463" s="919"/>
      <c r="C1463" s="913" t="s">
        <v>2455</v>
      </c>
      <c r="D1463" s="49" t="s">
        <v>153</v>
      </c>
      <c r="E1463" s="57" t="s">
        <v>1792</v>
      </c>
      <c r="F1463" s="50"/>
      <c r="G1463" s="12" t="s">
        <v>1793</v>
      </c>
      <c r="H1463" s="18" t="s">
        <v>183</v>
      </c>
      <c r="I1463" s="51">
        <v>1</v>
      </c>
      <c r="J1463" s="10">
        <v>14532.08</v>
      </c>
      <c r="K1463" s="9">
        <f>J1463*$S$3</f>
        <v>19037.024799999999</v>
      </c>
      <c r="L1463" s="10">
        <v>16.8</v>
      </c>
      <c r="M1463" s="9">
        <f t="shared" si="96"/>
        <v>22235.24</v>
      </c>
      <c r="N1463" s="948">
        <v>0</v>
      </c>
      <c r="O1463" s="900">
        <f t="shared" si="99"/>
        <v>1</v>
      </c>
      <c r="P1463" s="901">
        <f t="shared" si="97"/>
        <v>22235.24</v>
      </c>
      <c r="Q1463" s="873"/>
      <c r="R1463" s="873"/>
      <c r="S1463" s="840"/>
      <c r="T1463" s="853"/>
    </row>
    <row r="1464" spans="1:20" s="610" customFormat="1" ht="51">
      <c r="A1464" s="915"/>
      <c r="B1464" s="919"/>
      <c r="C1464" s="913" t="s">
        <v>2455</v>
      </c>
      <c r="D1464" s="49" t="s">
        <v>151</v>
      </c>
      <c r="E1464" s="57" t="s">
        <v>1790</v>
      </c>
      <c r="F1464" s="50"/>
      <c r="G1464" s="12" t="s">
        <v>1791</v>
      </c>
      <c r="H1464" s="18" t="s">
        <v>183</v>
      </c>
      <c r="I1464" s="51">
        <v>1</v>
      </c>
      <c r="J1464" s="10">
        <v>89103.96</v>
      </c>
      <c r="K1464" s="9">
        <f>J1464*$S$3</f>
        <v>116726.18760000002</v>
      </c>
      <c r="L1464" s="10">
        <v>16.8</v>
      </c>
      <c r="M1464" s="9">
        <f t="shared" si="96"/>
        <v>136336.19</v>
      </c>
      <c r="N1464" s="948">
        <v>0</v>
      </c>
      <c r="O1464" s="900">
        <f t="shared" si="99"/>
        <v>1</v>
      </c>
      <c r="P1464" s="901">
        <f t="shared" si="97"/>
        <v>136336.19</v>
      </c>
      <c r="Q1464" s="873"/>
      <c r="R1464" s="873"/>
      <c r="S1464" s="840"/>
      <c r="T1464" s="853"/>
    </row>
    <row r="1465" spans="1:20" s="610" customFormat="1" ht="38.25">
      <c r="A1465" s="915"/>
      <c r="B1465" s="919"/>
      <c r="C1465" s="913" t="s">
        <v>2455</v>
      </c>
      <c r="D1465" s="49" t="s">
        <v>149</v>
      </c>
      <c r="E1465" s="57" t="s">
        <v>1788</v>
      </c>
      <c r="F1465" s="50"/>
      <c r="G1465" s="12" t="s">
        <v>1789</v>
      </c>
      <c r="H1465" s="7" t="s">
        <v>183</v>
      </c>
      <c r="I1465" s="21">
        <v>1</v>
      </c>
      <c r="J1465" s="10">
        <v>34560</v>
      </c>
      <c r="K1465" s="9">
        <f>J1465*$S$3</f>
        <v>45273.599999999999</v>
      </c>
      <c r="L1465" s="10">
        <v>16.8</v>
      </c>
      <c r="M1465" s="9">
        <f t="shared" si="96"/>
        <v>52879.56</v>
      </c>
      <c r="N1465" s="948">
        <v>0</v>
      </c>
      <c r="O1465" s="900">
        <f t="shared" si="99"/>
        <v>1</v>
      </c>
      <c r="P1465" s="901">
        <f t="shared" si="97"/>
        <v>52879.56</v>
      </c>
      <c r="Q1465" s="873"/>
      <c r="R1465" s="873"/>
      <c r="S1465" s="840"/>
      <c r="T1465" s="853"/>
    </row>
    <row r="1466" spans="1:20" s="610" customFormat="1" ht="38.25">
      <c r="A1466" s="915"/>
      <c r="B1466" s="919"/>
      <c r="C1466" s="913" t="s">
        <v>2455</v>
      </c>
      <c r="D1466" s="49" t="s">
        <v>240</v>
      </c>
      <c r="E1466" s="57" t="s">
        <v>1786</v>
      </c>
      <c r="F1466" s="50"/>
      <c r="G1466" s="12" t="s">
        <v>1787</v>
      </c>
      <c r="H1466" s="7" t="s">
        <v>326</v>
      </c>
      <c r="I1466" s="21">
        <v>1</v>
      </c>
      <c r="J1466" s="10">
        <v>5854.47</v>
      </c>
      <c r="K1466" s="9">
        <f>J1466*$S$3</f>
        <v>7669.355700000001</v>
      </c>
      <c r="L1466" s="10">
        <v>16.8</v>
      </c>
      <c r="M1466" s="9">
        <f t="shared" si="96"/>
        <v>8957.81</v>
      </c>
      <c r="N1466" s="948">
        <v>0</v>
      </c>
      <c r="O1466" s="900">
        <f t="shared" si="99"/>
        <v>1</v>
      </c>
      <c r="P1466" s="901">
        <f t="shared" si="97"/>
        <v>8957.81</v>
      </c>
      <c r="Q1466" s="873"/>
      <c r="R1466" s="873"/>
      <c r="S1466" s="840"/>
      <c r="T1466" s="853"/>
    </row>
    <row r="1467" spans="1:20" s="610" customFormat="1" ht="25.5">
      <c r="A1467" s="915"/>
      <c r="B1467" s="919"/>
      <c r="C1467" s="913" t="s">
        <v>2455</v>
      </c>
      <c r="D1467" s="49" t="s">
        <v>237</v>
      </c>
      <c r="E1467" s="805" t="s">
        <v>1784</v>
      </c>
      <c r="F1467" s="195"/>
      <c r="G1467" s="12" t="s">
        <v>1785</v>
      </c>
      <c r="H1467" s="7" t="s">
        <v>183</v>
      </c>
      <c r="I1467" s="21">
        <v>1</v>
      </c>
      <c r="J1467" s="10">
        <v>1725</v>
      </c>
      <c r="K1467" s="9">
        <f>J1467*$S$3</f>
        <v>2259.75</v>
      </c>
      <c r="L1467" s="10">
        <v>16.8</v>
      </c>
      <c r="M1467" s="9">
        <f t="shared" si="96"/>
        <v>2639.39</v>
      </c>
      <c r="N1467" s="948">
        <v>0</v>
      </c>
      <c r="O1467" s="900">
        <f t="shared" si="99"/>
        <v>1</v>
      </c>
      <c r="P1467" s="901">
        <f t="shared" si="97"/>
        <v>2639.39</v>
      </c>
      <c r="Q1467" s="873"/>
      <c r="R1467" s="873"/>
      <c r="S1467" s="840"/>
      <c r="T1467" s="853"/>
    </row>
    <row r="1468" spans="1:20">
      <c r="D1468" s="49" t="s">
        <v>19</v>
      </c>
      <c r="E1468" s="199"/>
      <c r="F1468" s="194"/>
      <c r="G1468" s="12" t="s">
        <v>870</v>
      </c>
      <c r="H1468" s="196"/>
      <c r="I1468" s="219"/>
      <c r="J1468" s="13"/>
      <c r="K1468" s="13"/>
      <c r="L1468" s="10"/>
      <c r="M1468" s="9"/>
      <c r="N1468" s="948"/>
      <c r="O1468" s="900"/>
      <c r="P1468" s="901"/>
      <c r="Q1468" s="874"/>
      <c r="R1468" s="874"/>
      <c r="S1468" s="841"/>
      <c r="T1468" s="854"/>
    </row>
    <row r="1469" spans="1:20" s="344" customFormat="1" ht="25.5">
      <c r="A1469" s="915"/>
      <c r="B1469" s="919"/>
      <c r="C1469" s="913"/>
      <c r="D1469" s="49" t="s">
        <v>147</v>
      </c>
      <c r="E1469" s="805">
        <f>'[3]Plan Tron'!B427</f>
        <v>2510</v>
      </c>
      <c r="F1469" s="805" t="str">
        <f>'[3]Plan Tron'!C427</f>
        <v>SINAPI (INSUMO)</v>
      </c>
      <c r="G1469" s="643" t="str">
        <f>'[3]Plan Tron'!D427</f>
        <v xml:space="preserve">RELE FOTOELETRICO INTERNO E EXTERNO BIVOLT 1000 W, DE CONECTOR, SEM BASE </v>
      </c>
      <c r="H1469" s="805" t="str">
        <f>'[3]Plan Tron'!E427</f>
        <v xml:space="preserve">UN </v>
      </c>
      <c r="I1469" s="21">
        <v>1</v>
      </c>
      <c r="J1469" s="10">
        <v>21.44</v>
      </c>
      <c r="K1469" s="10">
        <f>'[3]Plan Tron'!F427</f>
        <v>14.86</v>
      </c>
      <c r="L1469" s="10">
        <v>16.8</v>
      </c>
      <c r="M1469" s="9">
        <f t="shared" si="96"/>
        <v>17.36</v>
      </c>
      <c r="N1469" s="948">
        <v>0</v>
      </c>
      <c r="O1469" s="900">
        <f t="shared" si="99"/>
        <v>1</v>
      </c>
      <c r="P1469" s="901">
        <f t="shared" si="97"/>
        <v>17.36</v>
      </c>
      <c r="Q1469" s="874"/>
      <c r="R1469" s="874"/>
      <c r="S1469" s="841"/>
      <c r="T1469" s="854"/>
    </row>
    <row r="1470" spans="1:20" s="610" customFormat="1" ht="25.5">
      <c r="A1470" s="915"/>
      <c r="B1470" s="919"/>
      <c r="C1470" s="913" t="s">
        <v>2455</v>
      </c>
      <c r="D1470" s="49" t="s">
        <v>213</v>
      </c>
      <c r="E1470" s="57" t="s">
        <v>1263</v>
      </c>
      <c r="F1470" s="50"/>
      <c r="G1470" s="12" t="s">
        <v>1264</v>
      </c>
      <c r="H1470" s="18" t="s">
        <v>183</v>
      </c>
      <c r="I1470" s="51">
        <v>3</v>
      </c>
      <c r="J1470" s="10">
        <v>550</v>
      </c>
      <c r="K1470" s="9">
        <f>J1470*$S$3</f>
        <v>720.5</v>
      </c>
      <c r="L1470" s="10">
        <v>16.8</v>
      </c>
      <c r="M1470" s="9">
        <f t="shared" si="96"/>
        <v>841.54</v>
      </c>
      <c r="N1470" s="948">
        <v>0</v>
      </c>
      <c r="O1470" s="900">
        <f t="shared" si="99"/>
        <v>3</v>
      </c>
      <c r="P1470" s="901">
        <f t="shared" si="97"/>
        <v>2524.62</v>
      </c>
      <c r="Q1470" s="873"/>
      <c r="R1470" s="873"/>
      <c r="S1470" s="840"/>
      <c r="T1470" s="853"/>
    </row>
    <row r="1471" spans="1:20">
      <c r="D1471" s="49" t="s">
        <v>18</v>
      </c>
      <c r="E1471" s="199"/>
      <c r="F1471" s="194"/>
      <c r="G1471" s="12" t="s">
        <v>182</v>
      </c>
      <c r="H1471" s="196"/>
      <c r="I1471" s="219"/>
      <c r="J1471" s="13"/>
      <c r="K1471" s="13"/>
      <c r="L1471" s="10"/>
      <c r="M1471" s="9"/>
      <c r="N1471" s="948"/>
      <c r="O1471" s="900"/>
      <c r="P1471" s="901"/>
      <c r="Q1471" s="874"/>
      <c r="R1471" s="874"/>
      <c r="S1471" s="841"/>
      <c r="T1471" s="854"/>
    </row>
    <row r="1472" spans="1:20" s="610" customFormat="1" ht="63.75">
      <c r="A1472" s="915"/>
      <c r="B1472" s="919"/>
      <c r="C1472" s="913" t="s">
        <v>2455</v>
      </c>
      <c r="D1472" s="49" t="s">
        <v>201</v>
      </c>
      <c r="E1472" s="805" t="s">
        <v>1782</v>
      </c>
      <c r="F1472" s="195"/>
      <c r="G1472" s="12" t="s">
        <v>1783</v>
      </c>
      <c r="H1472" s="18" t="s">
        <v>110</v>
      </c>
      <c r="I1472" s="51">
        <v>30</v>
      </c>
      <c r="J1472" s="10">
        <v>70.260000000000005</v>
      </c>
      <c r="K1472" s="9">
        <f>J1472*$S$3</f>
        <v>92.040600000000012</v>
      </c>
      <c r="L1472" s="10">
        <v>16.8</v>
      </c>
      <c r="M1472" s="9">
        <f t="shared" si="96"/>
        <v>107.5</v>
      </c>
      <c r="N1472" s="948">
        <v>0</v>
      </c>
      <c r="O1472" s="900">
        <f t="shared" si="99"/>
        <v>30</v>
      </c>
      <c r="P1472" s="901">
        <f t="shared" si="97"/>
        <v>3225</v>
      </c>
      <c r="Q1472" s="873"/>
      <c r="R1472" s="873"/>
      <c r="S1472" s="840"/>
      <c r="T1472" s="853"/>
    </row>
    <row r="1473" spans="1:20">
      <c r="D1473" s="49"/>
      <c r="E1473" s="805"/>
      <c r="F1473" s="195"/>
      <c r="G1473" s="12"/>
      <c r="H1473" s="18"/>
      <c r="I1473" s="51"/>
      <c r="J1473" s="10"/>
      <c r="K1473" s="10"/>
      <c r="L1473" s="10"/>
      <c r="M1473" s="9"/>
      <c r="N1473" s="948"/>
      <c r="O1473" s="900"/>
      <c r="P1473" s="901"/>
      <c r="Q1473" s="874"/>
      <c r="R1473" s="874"/>
      <c r="S1473" s="841"/>
      <c r="T1473" s="854"/>
    </row>
    <row r="1474" spans="1:20">
      <c r="D1474" s="49"/>
      <c r="E1474" s="805"/>
      <c r="F1474" s="195"/>
      <c r="G1474" s="12"/>
      <c r="H1474" s="18"/>
      <c r="I1474" s="51"/>
      <c r="J1474" s="10"/>
      <c r="K1474" s="10"/>
      <c r="L1474" s="10"/>
      <c r="M1474" s="9"/>
      <c r="N1474" s="948"/>
      <c r="O1474" s="900"/>
      <c r="P1474" s="901"/>
      <c r="Q1474" s="874"/>
      <c r="R1474" s="874"/>
      <c r="S1474" s="841"/>
      <c r="T1474" s="854"/>
    </row>
    <row r="1475" spans="1:20" s="610" customFormat="1" ht="51">
      <c r="A1475" s="915"/>
      <c r="B1475" s="919"/>
      <c r="C1475" s="913" t="s">
        <v>2455</v>
      </c>
      <c r="D1475" s="49" t="s">
        <v>198</v>
      </c>
      <c r="E1475" s="57" t="s">
        <v>229</v>
      </c>
      <c r="F1475" s="50"/>
      <c r="G1475" s="12" t="s">
        <v>1424</v>
      </c>
      <c r="H1475" s="18" t="s">
        <v>110</v>
      </c>
      <c r="I1475" s="51">
        <v>30</v>
      </c>
      <c r="J1475" s="10">
        <v>4.26</v>
      </c>
      <c r="K1475" s="9">
        <f>J1475*$S$3</f>
        <v>5.5805999999999996</v>
      </c>
      <c r="L1475" s="10">
        <v>16.8</v>
      </c>
      <c r="M1475" s="9">
        <f t="shared" si="96"/>
        <v>6.52</v>
      </c>
      <c r="N1475" s="948">
        <v>0</v>
      </c>
      <c r="O1475" s="900">
        <f t="shared" si="99"/>
        <v>30</v>
      </c>
      <c r="P1475" s="901">
        <f t="shared" si="97"/>
        <v>195.6</v>
      </c>
      <c r="Q1475" s="873"/>
      <c r="R1475" s="873"/>
      <c r="S1475" s="840"/>
      <c r="T1475" s="853"/>
    </row>
    <row r="1476" spans="1:20" s="610" customFormat="1" ht="51">
      <c r="A1476" s="915"/>
      <c r="B1476" s="919"/>
      <c r="C1476" s="913" t="s">
        <v>2455</v>
      </c>
      <c r="D1476" s="49" t="s">
        <v>390</v>
      </c>
      <c r="E1476" s="57" t="s">
        <v>226</v>
      </c>
      <c r="F1476" s="50"/>
      <c r="G1476" s="12" t="s">
        <v>227</v>
      </c>
      <c r="H1476" s="18" t="s">
        <v>110</v>
      </c>
      <c r="I1476" s="51">
        <v>60</v>
      </c>
      <c r="J1476" s="10">
        <v>16.04</v>
      </c>
      <c r="K1476" s="9">
        <f>J1476*$S$3</f>
        <v>21.0124</v>
      </c>
      <c r="L1476" s="10">
        <v>16.8</v>
      </c>
      <c r="M1476" s="9">
        <f t="shared" si="96"/>
        <v>24.54</v>
      </c>
      <c r="N1476" s="948">
        <v>0</v>
      </c>
      <c r="O1476" s="900">
        <f t="shared" si="99"/>
        <v>60</v>
      </c>
      <c r="P1476" s="901">
        <f t="shared" si="97"/>
        <v>1472.4</v>
      </c>
      <c r="Q1476" s="873"/>
      <c r="R1476" s="873"/>
      <c r="S1476" s="840"/>
      <c r="T1476" s="853"/>
    </row>
    <row r="1477" spans="1:20" s="610" customFormat="1" ht="38.25">
      <c r="A1477" s="915"/>
      <c r="B1477" s="919"/>
      <c r="C1477" s="913" t="s">
        <v>2455</v>
      </c>
      <c r="D1477" s="49" t="s">
        <v>387</v>
      </c>
      <c r="E1477" s="57" t="s">
        <v>214</v>
      </c>
      <c r="F1477" s="50"/>
      <c r="G1477" s="12" t="s">
        <v>215</v>
      </c>
      <c r="H1477" s="18" t="s">
        <v>110</v>
      </c>
      <c r="I1477" s="51">
        <v>30</v>
      </c>
      <c r="J1477" s="10">
        <v>3.63</v>
      </c>
      <c r="K1477" s="9">
        <f>J1477*$S$3</f>
        <v>4.7553000000000001</v>
      </c>
      <c r="L1477" s="10">
        <v>16.8</v>
      </c>
      <c r="M1477" s="9">
        <f t="shared" si="96"/>
        <v>5.55</v>
      </c>
      <c r="N1477" s="948">
        <v>0</v>
      </c>
      <c r="O1477" s="900">
        <f t="shared" si="99"/>
        <v>30</v>
      </c>
      <c r="P1477" s="901">
        <f t="shared" si="97"/>
        <v>166.5</v>
      </c>
      <c r="Q1477" s="873"/>
      <c r="R1477" s="873"/>
      <c r="S1477" s="840"/>
      <c r="T1477" s="853"/>
    </row>
    <row r="1478" spans="1:20">
      <c r="D1478" s="49" t="s">
        <v>17</v>
      </c>
      <c r="E1478" s="57"/>
      <c r="F1478" s="50"/>
      <c r="G1478" s="12" t="s">
        <v>168</v>
      </c>
      <c r="H1478" s="18"/>
      <c r="I1478" s="51"/>
      <c r="J1478" s="10"/>
      <c r="K1478" s="10"/>
      <c r="L1478" s="10"/>
      <c r="M1478" s="9"/>
      <c r="N1478" s="948"/>
      <c r="O1478" s="900"/>
      <c r="P1478" s="901"/>
      <c r="Q1478" s="874"/>
      <c r="R1478" s="874"/>
      <c r="S1478" s="841"/>
      <c r="T1478" s="854"/>
    </row>
    <row r="1479" spans="1:20" s="344" customFormat="1" ht="25.5">
      <c r="A1479" s="915"/>
      <c r="B1479" s="919"/>
      <c r="C1479" s="913"/>
      <c r="D1479" s="49" t="s">
        <v>195</v>
      </c>
      <c r="E1479" s="805">
        <f>'[3]Plan Tron'!B428</f>
        <v>21132</v>
      </c>
      <c r="F1479" s="805" t="str">
        <f>'[3]Plan Tron'!C428</f>
        <v>SINAPI (INSUMO)</v>
      </c>
      <c r="G1479" s="643" t="str">
        <f>'[3]Plan Tron'!D428</f>
        <v>ELETRODUTO EM ACO GALVANIZADO ELETROLITICO, PESADO, DIAMETRO 4", PAREDE DE 2,25 MM</v>
      </c>
      <c r="H1479" s="805" t="str">
        <f>'[3]Plan Tron'!E428</f>
        <v>M</v>
      </c>
      <c r="I1479" s="51">
        <v>6</v>
      </c>
      <c r="J1479" s="10">
        <v>60.84</v>
      </c>
      <c r="K1479" s="10">
        <f>'[3]Plan Tron'!F428</f>
        <v>55.71</v>
      </c>
      <c r="L1479" s="10">
        <v>16.8</v>
      </c>
      <c r="M1479" s="9">
        <f t="shared" si="96"/>
        <v>65.069999999999993</v>
      </c>
      <c r="N1479" s="948">
        <v>0</v>
      </c>
      <c r="O1479" s="900">
        <f t="shared" si="99"/>
        <v>6</v>
      </c>
      <c r="P1479" s="901">
        <f t="shared" si="97"/>
        <v>390.42</v>
      </c>
      <c r="Q1479" s="874"/>
      <c r="R1479" s="874"/>
      <c r="S1479" s="841"/>
      <c r="T1479" s="854"/>
    </row>
    <row r="1480" spans="1:20" s="344" customFormat="1" ht="25.5">
      <c r="A1480" s="915"/>
      <c r="B1480" s="919"/>
      <c r="C1480" s="913"/>
      <c r="D1480" s="49" t="s">
        <v>192</v>
      </c>
      <c r="E1480" s="805">
        <f>'[3]Plan Tron'!B429</f>
        <v>2503</v>
      </c>
      <c r="F1480" s="805" t="str">
        <f>'[3]Plan Tron'!C429</f>
        <v>SINAPI (INSUMO)</v>
      </c>
      <c r="G1480" s="643" t="str">
        <f>'[3]Plan Tron'!D429</f>
        <v>ELETRODUTO FLEXIVEL, EM ACO GALVANIZADO, REVESTIDO EXTERNAMENTE COM PVC PRETO, DIAMETRO EXTERNO DE 50 MM( 1 1/2"), TIPO SEALTUBO</v>
      </c>
      <c r="H1480" s="805" t="str">
        <f>'[3]Plan Tron'!E429</f>
        <v>M</v>
      </c>
      <c r="I1480" s="51">
        <v>2</v>
      </c>
      <c r="J1480" s="10">
        <v>29.97</v>
      </c>
      <c r="K1480" s="10">
        <f>'[3]Plan Tron'!F429</f>
        <v>14.49</v>
      </c>
      <c r="L1480" s="10">
        <v>16.8</v>
      </c>
      <c r="M1480" s="9">
        <f t="shared" si="96"/>
        <v>16.920000000000002</v>
      </c>
      <c r="N1480" s="948">
        <v>0</v>
      </c>
      <c r="O1480" s="900">
        <f t="shared" si="99"/>
        <v>2</v>
      </c>
      <c r="P1480" s="901">
        <f t="shared" si="97"/>
        <v>33.840000000000003</v>
      </c>
      <c r="Q1480" s="874"/>
      <c r="R1480" s="874"/>
      <c r="S1480" s="841"/>
      <c r="T1480" s="854"/>
    </row>
    <row r="1481" spans="1:20">
      <c r="D1481" s="49"/>
      <c r="E1481" s="57"/>
      <c r="F1481" s="50"/>
      <c r="G1481" s="12"/>
      <c r="H1481" s="18"/>
      <c r="I1481" s="51"/>
      <c r="J1481" s="10"/>
      <c r="K1481" s="10"/>
      <c r="L1481" s="10"/>
      <c r="M1481" s="9"/>
      <c r="N1481" s="948"/>
      <c r="O1481" s="900"/>
      <c r="P1481" s="901"/>
      <c r="Q1481" s="874"/>
      <c r="R1481" s="874"/>
      <c r="S1481" s="841"/>
      <c r="T1481" s="854"/>
    </row>
    <row r="1482" spans="1:20">
      <c r="D1482" s="49"/>
      <c r="E1482" s="57"/>
      <c r="F1482" s="50"/>
      <c r="G1482" s="12"/>
      <c r="H1482" s="18"/>
      <c r="I1482" s="51"/>
      <c r="J1482" s="10"/>
      <c r="K1482" s="10"/>
      <c r="L1482" s="10"/>
      <c r="M1482" s="9"/>
      <c r="N1482" s="948"/>
      <c r="O1482" s="900"/>
      <c r="P1482" s="901"/>
      <c r="Q1482" s="874"/>
      <c r="R1482" s="874"/>
      <c r="S1482" s="841"/>
      <c r="T1482" s="854"/>
    </row>
    <row r="1483" spans="1:20" s="610" customFormat="1">
      <c r="A1483" s="915"/>
      <c r="B1483" s="919"/>
      <c r="C1483" s="913" t="s">
        <v>2455</v>
      </c>
      <c r="D1483" s="49" t="s">
        <v>280</v>
      </c>
      <c r="E1483" s="57" t="s">
        <v>1553</v>
      </c>
      <c r="F1483" s="50"/>
      <c r="G1483" s="12" t="s">
        <v>1781</v>
      </c>
      <c r="H1483" s="18" t="s">
        <v>158</v>
      </c>
      <c r="I1483" s="51">
        <v>2</v>
      </c>
      <c r="J1483" s="10">
        <v>19</v>
      </c>
      <c r="K1483" s="9">
        <f>J1483*$S$3</f>
        <v>24.89</v>
      </c>
      <c r="L1483" s="10">
        <v>16.8</v>
      </c>
      <c r="M1483" s="9">
        <f t="shared" si="96"/>
        <v>29.07</v>
      </c>
      <c r="N1483" s="948">
        <v>0</v>
      </c>
      <c r="O1483" s="900">
        <f t="shared" si="99"/>
        <v>2</v>
      </c>
      <c r="P1483" s="901">
        <f t="shared" si="97"/>
        <v>58.14</v>
      </c>
      <c r="Q1483" s="873"/>
      <c r="R1483" s="873"/>
      <c r="S1483" s="840"/>
      <c r="T1483" s="853"/>
    </row>
    <row r="1484" spans="1:20" s="610" customFormat="1">
      <c r="A1484" s="915"/>
      <c r="B1484" s="919"/>
      <c r="C1484" s="913" t="s">
        <v>2455</v>
      </c>
      <c r="D1484" s="49" t="s">
        <v>277</v>
      </c>
      <c r="E1484" s="57" t="s">
        <v>1550</v>
      </c>
      <c r="F1484" s="50"/>
      <c r="G1484" s="12" t="s">
        <v>1780</v>
      </c>
      <c r="H1484" s="18" t="s">
        <v>158</v>
      </c>
      <c r="I1484" s="51">
        <v>2</v>
      </c>
      <c r="J1484" s="10">
        <v>26.88</v>
      </c>
      <c r="K1484" s="9">
        <f>J1484*$S$3</f>
        <v>35.212800000000001</v>
      </c>
      <c r="L1484" s="10">
        <v>16.8</v>
      </c>
      <c r="M1484" s="9">
        <f t="shared" si="96"/>
        <v>41.13</v>
      </c>
      <c r="N1484" s="948">
        <v>0</v>
      </c>
      <c r="O1484" s="900">
        <f t="shared" si="99"/>
        <v>2</v>
      </c>
      <c r="P1484" s="901">
        <f t="shared" si="97"/>
        <v>82.26</v>
      </c>
      <c r="Q1484" s="873"/>
      <c r="R1484" s="873"/>
      <c r="S1484" s="840"/>
      <c r="T1484" s="853"/>
    </row>
    <row r="1485" spans="1:20" s="344" customFormat="1" ht="25.5">
      <c r="A1485" s="915"/>
      <c r="B1485" s="919"/>
      <c r="C1485" s="913"/>
      <c r="D1485" s="49" t="s">
        <v>275</v>
      </c>
      <c r="E1485" s="805">
        <f>'[3]Plan Tron'!B430</f>
        <v>2637</v>
      </c>
      <c r="F1485" s="805" t="str">
        <f>'[3]Plan Tron'!C430</f>
        <v>SINAPI (INSUMO)</v>
      </c>
      <c r="G1485" s="643" t="str">
        <f>'[3]Plan Tron'!D430</f>
        <v xml:space="preserve">LUVA PARA ELETRODUTO, EM ACO GALVANIZADO ELETROLITICO, DIAMETRO DE 20 MM (3/4") </v>
      </c>
      <c r="H1485" s="805" t="str">
        <f>'[3]Plan Tron'!E430</f>
        <v xml:space="preserve">UN </v>
      </c>
      <c r="I1485" s="51">
        <v>7</v>
      </c>
      <c r="J1485" s="10">
        <v>0.89</v>
      </c>
      <c r="K1485" s="10">
        <f>'[3]Plan Tron'!F430</f>
        <v>0.94</v>
      </c>
      <c r="L1485" s="10">
        <v>16.8</v>
      </c>
      <c r="M1485" s="9">
        <f t="shared" si="96"/>
        <v>1.1000000000000001</v>
      </c>
      <c r="N1485" s="948">
        <v>0</v>
      </c>
      <c r="O1485" s="900">
        <f t="shared" si="99"/>
        <v>7</v>
      </c>
      <c r="P1485" s="901">
        <f t="shared" si="97"/>
        <v>7.7</v>
      </c>
      <c r="Q1485" s="874"/>
      <c r="R1485" s="874"/>
      <c r="S1485" s="841"/>
      <c r="T1485" s="854"/>
    </row>
    <row r="1486" spans="1:20" s="344" customFormat="1" ht="25.5">
      <c r="A1486" s="915"/>
      <c r="B1486" s="919"/>
      <c r="C1486" s="913"/>
      <c r="D1486" s="49" t="s">
        <v>274</v>
      </c>
      <c r="E1486" s="805">
        <f>'[3]Plan Tron'!B431</f>
        <v>2638</v>
      </c>
      <c r="F1486" s="805" t="str">
        <f>'[3]Plan Tron'!C431</f>
        <v>SINAPI (INSUMO)</v>
      </c>
      <c r="G1486" s="643" t="str">
        <f>'[3]Plan Tron'!D431</f>
        <v xml:space="preserve">LUVA PARA ELETRODUTO, EM ACO GALVANIZADO ELETROLITICO, DIAMETRO DE 25 MM (1") </v>
      </c>
      <c r="H1486" s="805" t="str">
        <f>'[3]Plan Tron'!E431</f>
        <v xml:space="preserve">UN </v>
      </c>
      <c r="I1486" s="51">
        <v>2</v>
      </c>
      <c r="J1486" s="10">
        <v>1.03</v>
      </c>
      <c r="K1486" s="10">
        <f>'[3]Plan Tron'!F431</f>
        <v>1.1000000000000001</v>
      </c>
      <c r="L1486" s="10">
        <v>16.8</v>
      </c>
      <c r="M1486" s="9">
        <f t="shared" si="96"/>
        <v>1.28</v>
      </c>
      <c r="N1486" s="948">
        <v>0</v>
      </c>
      <c r="O1486" s="900">
        <f t="shared" si="99"/>
        <v>2</v>
      </c>
      <c r="P1486" s="901">
        <f t="shared" si="97"/>
        <v>2.56</v>
      </c>
      <c r="Q1486" s="874"/>
      <c r="R1486" s="874"/>
      <c r="S1486" s="841"/>
      <c r="T1486" s="854"/>
    </row>
    <row r="1487" spans="1:20" s="344" customFormat="1" ht="25.5">
      <c r="A1487" s="915"/>
      <c r="B1487" s="919"/>
      <c r="C1487" s="913"/>
      <c r="D1487" s="49" t="s">
        <v>272</v>
      </c>
      <c r="E1487" s="805">
        <f>'[3]Plan Tron'!B432</f>
        <v>2643</v>
      </c>
      <c r="F1487" s="805" t="str">
        <f>'[3]Plan Tron'!C432</f>
        <v>SINAPI (INSUMO)</v>
      </c>
      <c r="G1487" s="643" t="str">
        <f>'[3]Plan Tron'!D432</f>
        <v xml:space="preserve">LUVA PARA ELETRODUTO, EM ACO GALVANIZADO ELETROLITICO, DIAMETRO DE 50 MM (2") </v>
      </c>
      <c r="H1487" s="805" t="str">
        <f>'[3]Plan Tron'!E432</f>
        <v xml:space="preserve">UN </v>
      </c>
      <c r="I1487" s="21">
        <v>16</v>
      </c>
      <c r="J1487" s="10">
        <v>3.5</v>
      </c>
      <c r="K1487" s="10">
        <f>'[3]Plan Tron'!F432</f>
        <v>3.93</v>
      </c>
      <c r="L1487" s="10">
        <v>16.8</v>
      </c>
      <c r="M1487" s="9">
        <f t="shared" si="96"/>
        <v>4.59</v>
      </c>
      <c r="N1487" s="948">
        <v>0</v>
      </c>
      <c r="O1487" s="900">
        <f t="shared" si="99"/>
        <v>16</v>
      </c>
      <c r="P1487" s="901">
        <f t="shared" si="97"/>
        <v>73.44</v>
      </c>
      <c r="Q1487" s="874"/>
      <c r="R1487" s="874"/>
      <c r="S1487" s="841"/>
      <c r="T1487" s="854"/>
    </row>
    <row r="1488" spans="1:20" s="344" customFormat="1" ht="25.5">
      <c r="A1488" s="915"/>
      <c r="B1488" s="919"/>
      <c r="C1488" s="913"/>
      <c r="D1488" s="49" t="s">
        <v>271</v>
      </c>
      <c r="E1488" s="805">
        <f>'[3]Plan Tron'!B433</f>
        <v>2633</v>
      </c>
      <c r="F1488" s="805" t="str">
        <f>'[3]Plan Tron'!C433</f>
        <v>SINAPI (INSUMO)</v>
      </c>
      <c r="G1488" s="643" t="str">
        <f>'[3]Plan Tron'!D433</f>
        <v>CURVA 90 GRAUS, PARA ELETRODUTO, EM ACO GALVANIZADO ELETROLITICO, DIAMETRO DE 20 MM (3/4")</v>
      </c>
      <c r="H1488" s="805" t="str">
        <f>'[3]Plan Tron'!E433</f>
        <v xml:space="preserve">UN </v>
      </c>
      <c r="I1488" s="21">
        <v>3</v>
      </c>
      <c r="J1488" s="10">
        <v>2.37</v>
      </c>
      <c r="K1488" s="10">
        <f>'[3]Plan Tron'!F433</f>
        <v>2.5</v>
      </c>
      <c r="L1488" s="10">
        <v>16.8</v>
      </c>
      <c r="M1488" s="9">
        <f t="shared" si="96"/>
        <v>2.92</v>
      </c>
      <c r="N1488" s="948">
        <v>0</v>
      </c>
      <c r="O1488" s="900">
        <f t="shared" si="99"/>
        <v>3</v>
      </c>
      <c r="P1488" s="901">
        <f t="shared" si="97"/>
        <v>8.76</v>
      </c>
      <c r="Q1488" s="874"/>
      <c r="R1488" s="874"/>
      <c r="S1488" s="841"/>
      <c r="T1488" s="854"/>
    </row>
    <row r="1489" spans="1:20" s="344" customFormat="1" ht="25.5">
      <c r="A1489" s="915"/>
      <c r="B1489" s="919"/>
      <c r="C1489" s="913"/>
      <c r="D1489" s="49" t="s">
        <v>896</v>
      </c>
      <c r="E1489" s="805">
        <f>'[3]Plan Tron'!B434</f>
        <v>2617</v>
      </c>
      <c r="F1489" s="805" t="str">
        <f>'[3]Plan Tron'!C434</f>
        <v>SINAPI (INSUMO)</v>
      </c>
      <c r="G1489" s="643" t="str">
        <f>'[3]Plan Tron'!D434</f>
        <v>CURVA 90 GRAUS, PARA ELETRODUTO, EM ACO GALVANIZADO ELETROLITICO, DIAMETRO DE 25 MM (1")</v>
      </c>
      <c r="H1489" s="805" t="str">
        <f>'[3]Plan Tron'!E434</f>
        <v xml:space="preserve">UN </v>
      </c>
      <c r="I1489" s="51">
        <v>1</v>
      </c>
      <c r="J1489" s="10">
        <v>3.22</v>
      </c>
      <c r="K1489" s="10">
        <f>'[3]Plan Tron'!F434</f>
        <v>3.4</v>
      </c>
      <c r="L1489" s="10">
        <v>16.8</v>
      </c>
      <c r="M1489" s="9">
        <f t="shared" ref="M1489:M1552" si="100">ROUND(K1489*(L1489/100+1),2)</f>
        <v>3.97</v>
      </c>
      <c r="N1489" s="948">
        <v>0</v>
      </c>
      <c r="O1489" s="900">
        <f t="shared" si="99"/>
        <v>1</v>
      </c>
      <c r="P1489" s="901">
        <f t="shared" ref="P1489:P1552" si="101">ROUND(O1489*M1489,2)</f>
        <v>3.97</v>
      </c>
      <c r="Q1489" s="874"/>
      <c r="R1489" s="874"/>
      <c r="S1489" s="841"/>
      <c r="T1489" s="854"/>
    </row>
    <row r="1490" spans="1:20" s="344" customFormat="1" ht="25.5">
      <c r="A1490" s="915"/>
      <c r="B1490" s="919"/>
      <c r="C1490" s="913"/>
      <c r="D1490" s="49" t="s">
        <v>1051</v>
      </c>
      <c r="E1490" s="805">
        <f>'[3]Plan Tron'!B435</f>
        <v>2631</v>
      </c>
      <c r="F1490" s="805" t="str">
        <f>'[3]Plan Tron'!C435</f>
        <v>SINAPI (INSUMO)</v>
      </c>
      <c r="G1490" s="643" t="str">
        <f>'[3]Plan Tron'!D435</f>
        <v>CURVA 90 GRAUS, PARA ELETRODUTO, EM ACO GALVANIZADO ELETROLITICO, DIAMETRO DE 50 MM (2")</v>
      </c>
      <c r="H1490" s="805" t="str">
        <f>'[3]Plan Tron'!E435</f>
        <v xml:space="preserve">UN </v>
      </c>
      <c r="I1490" s="51">
        <v>8</v>
      </c>
      <c r="J1490" s="10">
        <v>15.67</v>
      </c>
      <c r="K1490" s="10">
        <f>'[3]Plan Tron'!F435</f>
        <v>13.89</v>
      </c>
      <c r="L1490" s="10">
        <v>16.8</v>
      </c>
      <c r="M1490" s="9">
        <f t="shared" si="100"/>
        <v>16.22</v>
      </c>
      <c r="N1490" s="948">
        <v>0</v>
      </c>
      <c r="O1490" s="900">
        <f t="shared" si="99"/>
        <v>8</v>
      </c>
      <c r="P1490" s="901">
        <f t="shared" si="101"/>
        <v>129.76</v>
      </c>
      <c r="Q1490" s="874"/>
      <c r="R1490" s="874"/>
      <c r="S1490" s="841"/>
      <c r="T1490" s="854"/>
    </row>
    <row r="1491" spans="1:20" s="800" customFormat="1" ht="25.5">
      <c r="A1491" s="915"/>
      <c r="B1491" s="919"/>
      <c r="C1491" s="913"/>
      <c r="D1491" s="49" t="s">
        <v>1050</v>
      </c>
      <c r="E1491" s="57">
        <v>851</v>
      </c>
      <c r="F1491" s="805" t="s">
        <v>2017</v>
      </c>
      <c r="G1491" s="12" t="s">
        <v>1779</v>
      </c>
      <c r="H1491" s="7" t="s">
        <v>158</v>
      </c>
      <c r="I1491" s="21">
        <v>2</v>
      </c>
      <c r="J1491" s="10">
        <v>0.47</v>
      </c>
      <c r="K1491" s="9">
        <f>J1491*$S$3</f>
        <v>0.61570000000000003</v>
      </c>
      <c r="L1491" s="10">
        <v>16.8</v>
      </c>
      <c r="M1491" s="9">
        <f t="shared" si="100"/>
        <v>0.72</v>
      </c>
      <c r="N1491" s="948">
        <v>0</v>
      </c>
      <c r="O1491" s="900">
        <f t="shared" si="99"/>
        <v>2</v>
      </c>
      <c r="P1491" s="901">
        <f t="shared" si="101"/>
        <v>1.44</v>
      </c>
      <c r="Q1491" s="875"/>
      <c r="R1491" s="875"/>
      <c r="S1491" s="844"/>
      <c r="T1491" s="857"/>
    </row>
    <row r="1492" spans="1:20" s="800" customFormat="1" ht="25.5">
      <c r="A1492" s="915"/>
      <c r="B1492" s="919"/>
      <c r="C1492" s="913"/>
      <c r="D1492" s="49" t="s">
        <v>1049</v>
      </c>
      <c r="E1492" s="57">
        <v>853</v>
      </c>
      <c r="F1492" s="805" t="s">
        <v>2017</v>
      </c>
      <c r="G1492" s="12" t="s">
        <v>1560</v>
      </c>
      <c r="H1492" s="18" t="s">
        <v>158</v>
      </c>
      <c r="I1492" s="51">
        <v>1</v>
      </c>
      <c r="J1492" s="10">
        <v>1.08</v>
      </c>
      <c r="K1492" s="9">
        <f>J1492*$S$3</f>
        <v>1.4148000000000001</v>
      </c>
      <c r="L1492" s="10">
        <v>16.8</v>
      </c>
      <c r="M1492" s="9">
        <f t="shared" si="100"/>
        <v>1.65</v>
      </c>
      <c r="N1492" s="948">
        <v>0</v>
      </c>
      <c r="O1492" s="900">
        <f t="shared" si="99"/>
        <v>1</v>
      </c>
      <c r="P1492" s="901">
        <f t="shared" si="101"/>
        <v>1.65</v>
      </c>
      <c r="Q1492" s="875"/>
      <c r="R1492" s="875"/>
      <c r="S1492" s="844"/>
      <c r="T1492" s="857"/>
    </row>
    <row r="1493" spans="1:20" s="610" customFormat="1">
      <c r="A1493" s="915"/>
      <c r="B1493" s="919"/>
      <c r="C1493" s="913" t="s">
        <v>2455</v>
      </c>
      <c r="D1493" s="49" t="s">
        <v>1778</v>
      </c>
      <c r="E1493" s="57" t="s">
        <v>1539</v>
      </c>
      <c r="F1493" s="50"/>
      <c r="G1493" s="12" t="s">
        <v>1777</v>
      </c>
      <c r="H1493" s="18" t="s">
        <v>183</v>
      </c>
      <c r="I1493" s="51">
        <v>1</v>
      </c>
      <c r="J1493" s="10">
        <v>27.78</v>
      </c>
      <c r="K1493" s="9">
        <f>J1493*$S$3</f>
        <v>36.391800000000003</v>
      </c>
      <c r="L1493" s="10">
        <v>16.8</v>
      </c>
      <c r="M1493" s="9">
        <f t="shared" si="100"/>
        <v>42.51</v>
      </c>
      <c r="N1493" s="948">
        <v>0</v>
      </c>
      <c r="O1493" s="900">
        <f t="shared" si="99"/>
        <v>1</v>
      </c>
      <c r="P1493" s="901">
        <f t="shared" si="101"/>
        <v>42.51</v>
      </c>
      <c r="Q1493" s="873"/>
      <c r="R1493" s="873"/>
      <c r="S1493" s="840"/>
      <c r="T1493" s="853"/>
    </row>
    <row r="1494" spans="1:20" s="344" customFormat="1" ht="25.5">
      <c r="A1494" s="915"/>
      <c r="B1494" s="919"/>
      <c r="C1494" s="913"/>
      <c r="D1494" s="49" t="s">
        <v>1776</v>
      </c>
      <c r="E1494" s="805">
        <f>'[3]Plan Tron'!B436</f>
        <v>2571</v>
      </c>
      <c r="F1494" s="805" t="str">
        <f>'[3]Plan Tron'!C436</f>
        <v>SINAPI (INSUMO)</v>
      </c>
      <c r="G1494" s="643" t="str">
        <f>'[3]Plan Tron'!D436</f>
        <v xml:space="preserve">CONDULETE DE ALUMINIO TIPO LR, PARA ELETRODUTO ROSCAVEL DE 2", COM TAMPA CEGA </v>
      </c>
      <c r="H1494" s="805" t="str">
        <f>'[3]Plan Tron'!E436</f>
        <v xml:space="preserve">UN </v>
      </c>
      <c r="I1494" s="21">
        <v>1</v>
      </c>
      <c r="J1494" s="10">
        <v>27.78</v>
      </c>
      <c r="K1494" s="10">
        <f>'[3]Plan Tron'!F436</f>
        <v>28.08</v>
      </c>
      <c r="L1494" s="10">
        <v>16.8</v>
      </c>
      <c r="M1494" s="9">
        <f t="shared" si="100"/>
        <v>32.799999999999997</v>
      </c>
      <c r="N1494" s="948">
        <v>0</v>
      </c>
      <c r="O1494" s="900">
        <f t="shared" si="99"/>
        <v>1</v>
      </c>
      <c r="P1494" s="901">
        <f t="shared" si="101"/>
        <v>32.799999999999997</v>
      </c>
      <c r="Q1494" s="874"/>
      <c r="R1494" s="874"/>
      <c r="S1494" s="841"/>
      <c r="T1494" s="854"/>
    </row>
    <row r="1495" spans="1:20" s="344" customFormat="1" ht="25.5">
      <c r="A1495" s="915"/>
      <c r="B1495" s="919"/>
      <c r="C1495" s="913"/>
      <c r="D1495" s="49" t="s">
        <v>1775</v>
      </c>
      <c r="E1495" s="805">
        <f>'[3]Plan Tron'!B437</f>
        <v>2577</v>
      </c>
      <c r="F1495" s="805" t="str">
        <f>'[3]Plan Tron'!C437</f>
        <v>SINAPI (INSUMO)</v>
      </c>
      <c r="G1495" s="643" t="str">
        <f>'[3]Plan Tron'!D437</f>
        <v xml:space="preserve">CONDULETE DE ALUMINIO TIPO T, PARA ELETRODUTO ROSCAVEL DE 2", COM TAMPA CEGA </v>
      </c>
      <c r="H1495" s="805" t="str">
        <f>'[3]Plan Tron'!E437</f>
        <v xml:space="preserve">UN </v>
      </c>
      <c r="I1495" s="21">
        <v>1</v>
      </c>
      <c r="J1495" s="10">
        <v>29.67</v>
      </c>
      <c r="K1495" s="10">
        <f>'[3]Plan Tron'!F437</f>
        <v>29.93</v>
      </c>
      <c r="L1495" s="10">
        <v>16.8</v>
      </c>
      <c r="M1495" s="9">
        <f t="shared" si="100"/>
        <v>34.96</v>
      </c>
      <c r="N1495" s="948">
        <v>0</v>
      </c>
      <c r="O1495" s="900">
        <f t="shared" si="99"/>
        <v>1</v>
      </c>
      <c r="P1495" s="901">
        <f t="shared" si="101"/>
        <v>34.96</v>
      </c>
      <c r="Q1495" s="874"/>
      <c r="R1495" s="874"/>
      <c r="S1495" s="841"/>
      <c r="T1495" s="854"/>
    </row>
    <row r="1496" spans="1:20" s="344" customFormat="1" ht="25.5">
      <c r="A1496" s="915"/>
      <c r="B1496" s="919"/>
      <c r="C1496" s="913"/>
      <c r="D1496" s="49" t="s">
        <v>1774</v>
      </c>
      <c r="E1496" s="805">
        <f>'[3]Plan Tron'!B438</f>
        <v>400</v>
      </c>
      <c r="F1496" s="805" t="str">
        <f>'[3]Plan Tron'!C438</f>
        <v>SINAPI (INSUMO)</v>
      </c>
      <c r="G1496" s="643" t="str">
        <f>'[3]Plan Tron'!D438</f>
        <v>ABRACADEIRA EM ACO PARA AMARRACAO DE ELETRODUTOS, TIPO D, COM 3/4" E PARAFUSO DE FIXACAO</v>
      </c>
      <c r="H1496" s="805" t="str">
        <f>'[3]Plan Tron'!E438</f>
        <v xml:space="preserve">UN </v>
      </c>
      <c r="I1496" s="51">
        <v>6</v>
      </c>
      <c r="J1496" s="10">
        <v>0.44</v>
      </c>
      <c r="K1496" s="10">
        <f>'[3]Plan Tron'!F438</f>
        <v>0.61</v>
      </c>
      <c r="L1496" s="10">
        <v>16.8</v>
      </c>
      <c r="M1496" s="9">
        <f t="shared" si="100"/>
        <v>0.71</v>
      </c>
      <c r="N1496" s="948">
        <v>0</v>
      </c>
      <c r="O1496" s="900">
        <f t="shared" si="99"/>
        <v>6</v>
      </c>
      <c r="P1496" s="901">
        <f t="shared" si="101"/>
        <v>4.26</v>
      </c>
      <c r="Q1496" s="874"/>
      <c r="R1496" s="874"/>
      <c r="S1496" s="841"/>
      <c r="T1496" s="854"/>
    </row>
    <row r="1497" spans="1:20" s="344" customFormat="1" ht="25.5">
      <c r="A1497" s="915"/>
      <c r="B1497" s="919"/>
      <c r="C1497" s="913"/>
      <c r="D1497" s="49" t="s">
        <v>1773</v>
      </c>
      <c r="E1497" s="805">
        <f>'[3]Plan Tron'!B439</f>
        <v>393</v>
      </c>
      <c r="F1497" s="805" t="str">
        <f>'[3]Plan Tron'!C439</f>
        <v>SINAPI (INSUMO)</v>
      </c>
      <c r="G1497" s="643" t="str">
        <f>'[3]Plan Tron'!D439</f>
        <v>ABRACADEIRA EM ACO PARA AMARRACAO DE ELETRODUTOS, TIPO D, COM 1" E PARAFUSO DE FIXACAO</v>
      </c>
      <c r="H1497" s="805" t="str">
        <f>'[3]Plan Tron'!E439</f>
        <v xml:space="preserve">UN </v>
      </c>
      <c r="I1497" s="51">
        <v>4</v>
      </c>
      <c r="J1497" s="10">
        <v>0.57999999999999996</v>
      </c>
      <c r="K1497" s="10">
        <f>'[3]Plan Tron'!F439</f>
        <v>0.7</v>
      </c>
      <c r="L1497" s="10">
        <v>16.8</v>
      </c>
      <c r="M1497" s="9">
        <f t="shared" si="100"/>
        <v>0.82</v>
      </c>
      <c r="N1497" s="948">
        <v>0</v>
      </c>
      <c r="O1497" s="900">
        <f t="shared" si="99"/>
        <v>4</v>
      </c>
      <c r="P1497" s="901">
        <f t="shared" si="101"/>
        <v>3.28</v>
      </c>
      <c r="Q1497" s="874"/>
      <c r="R1497" s="874"/>
      <c r="S1497" s="841"/>
      <c r="T1497" s="854"/>
    </row>
    <row r="1498" spans="1:20" s="344" customFormat="1" ht="25.5">
      <c r="A1498" s="915"/>
      <c r="B1498" s="919"/>
      <c r="C1498" s="913"/>
      <c r="D1498" s="49" t="s">
        <v>1772</v>
      </c>
      <c r="E1498" s="805">
        <f>'[3]Plan Tron'!B440</f>
        <v>394</v>
      </c>
      <c r="F1498" s="805" t="str">
        <f>'[3]Plan Tron'!C440</f>
        <v>SINAPI (INSUMO)</v>
      </c>
      <c r="G1498" s="643" t="str">
        <f>'[3]Plan Tron'!D440</f>
        <v>ABRACADEIRA EM ACO PARA AMARRACAO DE ELETRODUTOS, TIPO D, COM 1 1/2" E PARAFUSO DE FIXACAO</v>
      </c>
      <c r="H1498" s="805" t="str">
        <f>'[3]Plan Tron'!E440</f>
        <v xml:space="preserve">UN </v>
      </c>
      <c r="I1498" s="51">
        <v>1</v>
      </c>
      <c r="J1498" s="10">
        <v>0.61</v>
      </c>
      <c r="K1498" s="10">
        <f>'[3]Plan Tron'!F440</f>
        <v>1.2</v>
      </c>
      <c r="L1498" s="10">
        <v>16.8</v>
      </c>
      <c r="M1498" s="9">
        <f t="shared" si="100"/>
        <v>1.4</v>
      </c>
      <c r="N1498" s="948">
        <v>0</v>
      </c>
      <c r="O1498" s="900">
        <f t="shared" si="99"/>
        <v>1</v>
      </c>
      <c r="P1498" s="901">
        <f t="shared" si="101"/>
        <v>1.4</v>
      </c>
      <c r="Q1498" s="874"/>
      <c r="R1498" s="874"/>
      <c r="S1498" s="841"/>
      <c r="T1498" s="854"/>
    </row>
    <row r="1499" spans="1:20" s="344" customFormat="1" ht="25.5">
      <c r="A1499" s="915"/>
      <c r="B1499" s="919"/>
      <c r="C1499" s="913"/>
      <c r="D1499" s="49" t="s">
        <v>1771</v>
      </c>
      <c r="E1499" s="805">
        <f>'[3]Plan Tron'!B441</f>
        <v>396</v>
      </c>
      <c r="F1499" s="805" t="str">
        <f>'[3]Plan Tron'!C441</f>
        <v>SINAPI (INSUMO)</v>
      </c>
      <c r="G1499" s="643" t="str">
        <f>'[3]Plan Tron'!D441</f>
        <v>ABRACADEIRA EM ACO PARA AMARRACAO DE ELETRODUTOS, TIPO D, COM 2" E PARAFUSO DE FIXACAO</v>
      </c>
      <c r="H1499" s="805" t="str">
        <f>'[3]Plan Tron'!E441</f>
        <v xml:space="preserve">UN </v>
      </c>
      <c r="I1499" s="51">
        <v>12</v>
      </c>
      <c r="J1499" s="10">
        <v>0.81</v>
      </c>
      <c r="K1499" s="10">
        <f>'[3]Plan Tron'!F441</f>
        <v>1.34</v>
      </c>
      <c r="L1499" s="10">
        <v>16.8</v>
      </c>
      <c r="M1499" s="9">
        <f t="shared" si="100"/>
        <v>1.57</v>
      </c>
      <c r="N1499" s="948">
        <v>0</v>
      </c>
      <c r="O1499" s="900">
        <f t="shared" si="99"/>
        <v>12</v>
      </c>
      <c r="P1499" s="901">
        <f t="shared" si="101"/>
        <v>18.84</v>
      </c>
      <c r="Q1499" s="874"/>
      <c r="R1499" s="874"/>
      <c r="S1499" s="841"/>
      <c r="T1499" s="854"/>
    </row>
    <row r="1500" spans="1:20" s="344" customFormat="1" ht="25.5">
      <c r="A1500" s="915"/>
      <c r="B1500" s="919"/>
      <c r="C1500" s="913"/>
      <c r="D1500" s="49" t="s">
        <v>1770</v>
      </c>
      <c r="E1500" s="805">
        <f>'[3]Plan Tron'!B442</f>
        <v>399</v>
      </c>
      <c r="F1500" s="805" t="str">
        <f>'[3]Plan Tron'!C442</f>
        <v>SINAPI (INSUMO)</v>
      </c>
      <c r="G1500" s="643" t="str">
        <f>'[3]Plan Tron'!D442</f>
        <v>ABRACADEIRA EM ACO PARA AMARRACAO DE ELETRODUTOS, TIPO D, COM 4" E PARAFUSO DE FIXACAO</v>
      </c>
      <c r="H1500" s="805" t="str">
        <f>'[3]Plan Tron'!E442</f>
        <v xml:space="preserve">UN </v>
      </c>
      <c r="I1500" s="51">
        <v>16</v>
      </c>
      <c r="J1500" s="10">
        <v>2.06</v>
      </c>
      <c r="K1500" s="10">
        <f>'[3]Plan Tron'!F442</f>
        <v>2.4700000000000002</v>
      </c>
      <c r="L1500" s="10">
        <v>16.8</v>
      </c>
      <c r="M1500" s="9">
        <f t="shared" si="100"/>
        <v>2.88</v>
      </c>
      <c r="N1500" s="948">
        <v>0</v>
      </c>
      <c r="O1500" s="900">
        <f t="shared" si="99"/>
        <v>16</v>
      </c>
      <c r="P1500" s="901">
        <f t="shared" si="101"/>
        <v>46.08</v>
      </c>
      <c r="Q1500" s="874"/>
      <c r="R1500" s="874"/>
      <c r="S1500" s="841"/>
      <c r="T1500" s="854"/>
    </row>
    <row r="1501" spans="1:20" s="344" customFormat="1" ht="25.5">
      <c r="A1501" s="915"/>
      <c r="B1501" s="919"/>
      <c r="C1501" s="913"/>
      <c r="D1501" s="49" t="s">
        <v>1769</v>
      </c>
      <c r="E1501" s="805">
        <f>'[3]Plan Tron'!B443</f>
        <v>1599</v>
      </c>
      <c r="F1501" s="805" t="str">
        <f>'[3]Plan Tron'!C443</f>
        <v>SINAPI (INSUMO)</v>
      </c>
      <c r="G1501" s="643" t="str">
        <f>'[3]Plan Tron'!D443</f>
        <v>CONECTOR DE ALUMINIO TIPO PRENSA CABO, BITOLA 3/4", PARA CABOS DE DIAMETRO DE 17,5 A 20 MM</v>
      </c>
      <c r="H1501" s="805" t="str">
        <f>'[3]Plan Tron'!E443</f>
        <v xml:space="preserve">UN </v>
      </c>
      <c r="I1501" s="51">
        <v>2</v>
      </c>
      <c r="J1501" s="10">
        <v>4.46</v>
      </c>
      <c r="K1501" s="10">
        <f>'[3]Plan Tron'!F443</f>
        <v>5.75</v>
      </c>
      <c r="L1501" s="10">
        <v>16.8</v>
      </c>
      <c r="M1501" s="9">
        <f t="shared" si="100"/>
        <v>6.72</v>
      </c>
      <c r="N1501" s="948">
        <v>0</v>
      </c>
      <c r="O1501" s="900">
        <f t="shared" si="99"/>
        <v>2</v>
      </c>
      <c r="P1501" s="901">
        <f t="shared" si="101"/>
        <v>13.44</v>
      </c>
      <c r="Q1501" s="874"/>
      <c r="R1501" s="874"/>
      <c r="S1501" s="841"/>
      <c r="T1501" s="854"/>
    </row>
    <row r="1502" spans="1:20" s="344" customFormat="1" ht="25.5">
      <c r="A1502" s="915"/>
      <c r="B1502" s="919"/>
      <c r="C1502" s="913"/>
      <c r="D1502" s="49" t="s">
        <v>1768</v>
      </c>
      <c r="E1502" s="805">
        <f>'[3]Plan Tron'!B444</f>
        <v>1603</v>
      </c>
      <c r="F1502" s="805" t="str">
        <f>'[3]Plan Tron'!C444</f>
        <v>SINAPI (INSUMO)</v>
      </c>
      <c r="G1502" s="643" t="str">
        <f>'[3]Plan Tron'!D444</f>
        <v>CONECTOR DE ALUMINIO TIPO PRENSA CABO, BITOLA 2", PARA CABOS DE DIAMETRO DE 47,5 A 50 MM</v>
      </c>
      <c r="H1502" s="805" t="str">
        <f>'[3]Plan Tron'!E444</f>
        <v xml:space="preserve">UN </v>
      </c>
      <c r="I1502" s="51">
        <v>6</v>
      </c>
      <c r="J1502" s="10">
        <v>25.52</v>
      </c>
      <c r="K1502" s="10">
        <f>'[3]Plan Tron'!F444</f>
        <v>28.4</v>
      </c>
      <c r="L1502" s="10">
        <v>16.8</v>
      </c>
      <c r="M1502" s="9">
        <f t="shared" si="100"/>
        <v>33.17</v>
      </c>
      <c r="N1502" s="948">
        <v>0</v>
      </c>
      <c r="O1502" s="900">
        <f t="shared" si="99"/>
        <v>6</v>
      </c>
      <c r="P1502" s="901">
        <f t="shared" si="101"/>
        <v>199.02</v>
      </c>
      <c r="Q1502" s="874"/>
      <c r="R1502" s="874"/>
      <c r="S1502" s="841"/>
      <c r="T1502" s="854"/>
    </row>
    <row r="1503" spans="1:20">
      <c r="D1503" s="49" t="s">
        <v>16</v>
      </c>
      <c r="E1503" s="57"/>
      <c r="F1503" s="50"/>
      <c r="G1503" s="12" t="s">
        <v>1173</v>
      </c>
      <c r="H1503" s="18"/>
      <c r="I1503" s="51"/>
      <c r="J1503" s="10"/>
      <c r="K1503" s="10"/>
      <c r="L1503" s="10"/>
      <c r="M1503" s="9"/>
      <c r="N1503" s="948"/>
      <c r="O1503" s="900"/>
      <c r="P1503" s="901"/>
      <c r="Q1503" s="874"/>
      <c r="R1503" s="874"/>
      <c r="S1503" s="841"/>
      <c r="T1503" s="854"/>
    </row>
    <row r="1504" spans="1:20" s="610" customFormat="1">
      <c r="A1504" s="915"/>
      <c r="B1504" s="919"/>
      <c r="C1504" s="913" t="s">
        <v>2455</v>
      </c>
      <c r="D1504" s="49" t="s">
        <v>270</v>
      </c>
      <c r="E1504" s="57" t="s">
        <v>1100</v>
      </c>
      <c r="F1504" s="50"/>
      <c r="G1504" s="12" t="s">
        <v>1101</v>
      </c>
      <c r="H1504" s="18" t="s">
        <v>1260</v>
      </c>
      <c r="I1504" s="51">
        <v>7</v>
      </c>
      <c r="J1504" s="10">
        <v>38.85</v>
      </c>
      <c r="K1504" s="9">
        <f t="shared" ref="K1504:K1510" si="102">J1504*$S$3</f>
        <v>50.893500000000003</v>
      </c>
      <c r="L1504" s="10">
        <v>16.8</v>
      </c>
      <c r="M1504" s="9">
        <f t="shared" si="100"/>
        <v>59.44</v>
      </c>
      <c r="N1504" s="948">
        <v>0</v>
      </c>
      <c r="O1504" s="900">
        <f t="shared" si="99"/>
        <v>7</v>
      </c>
      <c r="P1504" s="901">
        <f t="shared" si="101"/>
        <v>416.08</v>
      </c>
      <c r="Q1504" s="873"/>
      <c r="R1504" s="873"/>
      <c r="S1504" s="840"/>
      <c r="T1504" s="853"/>
    </row>
    <row r="1505" spans="1:20" s="610" customFormat="1">
      <c r="A1505" s="915"/>
      <c r="B1505" s="919"/>
      <c r="C1505" s="913" t="s">
        <v>2455</v>
      </c>
      <c r="D1505" s="49" t="s">
        <v>369</v>
      </c>
      <c r="E1505" s="57" t="s">
        <v>1098</v>
      </c>
      <c r="F1505" s="50"/>
      <c r="G1505" s="12" t="s">
        <v>1099</v>
      </c>
      <c r="H1505" s="7" t="s">
        <v>158</v>
      </c>
      <c r="I1505" s="21">
        <v>6</v>
      </c>
      <c r="J1505" s="10">
        <v>2.2999999999999998</v>
      </c>
      <c r="K1505" s="9">
        <f t="shared" si="102"/>
        <v>3.0129999999999999</v>
      </c>
      <c r="L1505" s="10">
        <v>16.8</v>
      </c>
      <c r="M1505" s="9">
        <f t="shared" si="100"/>
        <v>3.52</v>
      </c>
      <c r="N1505" s="948">
        <v>0</v>
      </c>
      <c r="O1505" s="900">
        <f t="shared" si="99"/>
        <v>6</v>
      </c>
      <c r="P1505" s="901">
        <f t="shared" si="101"/>
        <v>21.12</v>
      </c>
      <c r="Q1505" s="873"/>
      <c r="R1505" s="873"/>
      <c r="S1505" s="840"/>
      <c r="T1505" s="853"/>
    </row>
    <row r="1506" spans="1:20" s="610" customFormat="1">
      <c r="A1506" s="915"/>
      <c r="B1506" s="919"/>
      <c r="C1506" s="913" t="s">
        <v>2455</v>
      </c>
      <c r="D1506" s="49" t="s">
        <v>367</v>
      </c>
      <c r="E1506" s="57" t="s">
        <v>1766</v>
      </c>
      <c r="F1506" s="50"/>
      <c r="G1506" s="12" t="s">
        <v>1767</v>
      </c>
      <c r="H1506" s="7" t="s">
        <v>158</v>
      </c>
      <c r="I1506" s="21">
        <v>6</v>
      </c>
      <c r="J1506" s="10">
        <v>3.8</v>
      </c>
      <c r="K1506" s="9">
        <f t="shared" si="102"/>
        <v>4.9779999999999998</v>
      </c>
      <c r="L1506" s="10">
        <v>16.8</v>
      </c>
      <c r="M1506" s="9">
        <f t="shared" si="100"/>
        <v>5.81</v>
      </c>
      <c r="N1506" s="948">
        <v>0</v>
      </c>
      <c r="O1506" s="900">
        <f t="shared" si="99"/>
        <v>6</v>
      </c>
      <c r="P1506" s="901">
        <f t="shared" si="101"/>
        <v>34.86</v>
      </c>
      <c r="Q1506" s="873"/>
      <c r="R1506" s="873"/>
      <c r="S1506" s="840"/>
      <c r="T1506" s="853"/>
    </row>
    <row r="1507" spans="1:20" s="610" customFormat="1">
      <c r="A1507" s="915"/>
      <c r="B1507" s="919"/>
      <c r="C1507" s="913" t="s">
        <v>2455</v>
      </c>
      <c r="D1507" s="49" t="s">
        <v>365</v>
      </c>
      <c r="E1507" s="57" t="s">
        <v>1096</v>
      </c>
      <c r="F1507" s="50"/>
      <c r="G1507" s="12" t="s">
        <v>1765</v>
      </c>
      <c r="H1507" s="7" t="s">
        <v>158</v>
      </c>
      <c r="I1507" s="21">
        <v>4</v>
      </c>
      <c r="J1507" s="10">
        <v>0.9</v>
      </c>
      <c r="K1507" s="9">
        <f t="shared" si="102"/>
        <v>1.179</v>
      </c>
      <c r="L1507" s="10">
        <v>16.8</v>
      </c>
      <c r="M1507" s="9">
        <f t="shared" si="100"/>
        <v>1.38</v>
      </c>
      <c r="N1507" s="948">
        <v>0</v>
      </c>
      <c r="O1507" s="900">
        <f t="shared" ref="O1507:O1570" si="103">I1507-N1507</f>
        <v>4</v>
      </c>
      <c r="P1507" s="901">
        <f t="shared" si="101"/>
        <v>5.52</v>
      </c>
      <c r="Q1507" s="873"/>
      <c r="R1507" s="873"/>
      <c r="S1507" s="840"/>
      <c r="T1507" s="853"/>
    </row>
    <row r="1508" spans="1:20" s="610" customFormat="1">
      <c r="A1508" s="915"/>
      <c r="B1508" s="919"/>
      <c r="C1508" s="913" t="s">
        <v>2455</v>
      </c>
      <c r="D1508" s="49" t="s">
        <v>1045</v>
      </c>
      <c r="E1508" s="805" t="s">
        <v>1088</v>
      </c>
      <c r="F1508" s="195"/>
      <c r="G1508" s="12" t="s">
        <v>1764</v>
      </c>
      <c r="H1508" s="18" t="s">
        <v>158</v>
      </c>
      <c r="I1508" s="51">
        <v>1</v>
      </c>
      <c r="J1508" s="10">
        <v>1.25</v>
      </c>
      <c r="K1508" s="9">
        <f t="shared" si="102"/>
        <v>1.6375000000000002</v>
      </c>
      <c r="L1508" s="10">
        <v>16.8</v>
      </c>
      <c r="M1508" s="9">
        <f t="shared" si="100"/>
        <v>1.91</v>
      </c>
      <c r="N1508" s="948">
        <v>0</v>
      </c>
      <c r="O1508" s="900">
        <f t="shared" si="103"/>
        <v>1</v>
      </c>
      <c r="P1508" s="901">
        <f t="shared" si="101"/>
        <v>1.91</v>
      </c>
      <c r="Q1508" s="873"/>
      <c r="R1508" s="873"/>
      <c r="S1508" s="840"/>
      <c r="T1508" s="853"/>
    </row>
    <row r="1509" spans="1:20" s="610" customFormat="1">
      <c r="A1509" s="915"/>
      <c r="B1509" s="919"/>
      <c r="C1509" s="913" t="s">
        <v>2455</v>
      </c>
      <c r="D1509" s="49" t="s">
        <v>1043</v>
      </c>
      <c r="E1509" s="805" t="s">
        <v>1762</v>
      </c>
      <c r="F1509" s="195"/>
      <c r="G1509" s="12" t="s">
        <v>1763</v>
      </c>
      <c r="H1509" s="18" t="s">
        <v>158</v>
      </c>
      <c r="I1509" s="51">
        <v>1</v>
      </c>
      <c r="J1509" s="10">
        <v>2.63</v>
      </c>
      <c r="K1509" s="9">
        <f t="shared" si="102"/>
        <v>3.4453</v>
      </c>
      <c r="L1509" s="10">
        <v>16.8</v>
      </c>
      <c r="M1509" s="9">
        <f t="shared" si="100"/>
        <v>4.0199999999999996</v>
      </c>
      <c r="N1509" s="948">
        <v>0</v>
      </c>
      <c r="O1509" s="900">
        <f t="shared" si="103"/>
        <v>1</v>
      </c>
      <c r="P1509" s="901">
        <f t="shared" si="101"/>
        <v>4.0199999999999996</v>
      </c>
      <c r="Q1509" s="873"/>
      <c r="R1509" s="873"/>
      <c r="S1509" s="840"/>
      <c r="T1509" s="853"/>
    </row>
    <row r="1510" spans="1:20" s="610" customFormat="1">
      <c r="A1510" s="915"/>
      <c r="B1510" s="919"/>
      <c r="C1510" s="913" t="s">
        <v>2455</v>
      </c>
      <c r="D1510" s="49" t="s">
        <v>1090</v>
      </c>
      <c r="E1510" s="805" t="s">
        <v>1092</v>
      </c>
      <c r="F1510" s="195"/>
      <c r="G1510" s="12" t="s">
        <v>1093</v>
      </c>
      <c r="H1510" s="7" t="s">
        <v>158</v>
      </c>
      <c r="I1510" s="21">
        <v>18</v>
      </c>
      <c r="J1510" s="10">
        <v>0.96</v>
      </c>
      <c r="K1510" s="9">
        <f t="shared" si="102"/>
        <v>1.2576000000000001</v>
      </c>
      <c r="L1510" s="10">
        <v>16.8</v>
      </c>
      <c r="M1510" s="9">
        <f t="shared" si="100"/>
        <v>1.47</v>
      </c>
      <c r="N1510" s="948">
        <v>0</v>
      </c>
      <c r="O1510" s="900">
        <f t="shared" si="103"/>
        <v>18</v>
      </c>
      <c r="P1510" s="901">
        <f t="shared" si="101"/>
        <v>26.46</v>
      </c>
      <c r="Q1510" s="873"/>
      <c r="R1510" s="873"/>
      <c r="S1510" s="840"/>
      <c r="T1510" s="853"/>
    </row>
    <row r="1511" spans="1:20">
      <c r="D1511" s="49"/>
      <c r="E1511" s="805"/>
      <c r="F1511" s="195"/>
      <c r="G1511" s="12"/>
      <c r="H1511" s="7"/>
      <c r="I1511" s="21"/>
      <c r="J1511" s="10"/>
      <c r="K1511" s="10"/>
      <c r="L1511" s="10"/>
      <c r="M1511" s="9"/>
      <c r="N1511" s="948"/>
      <c r="O1511" s="900"/>
      <c r="P1511" s="901"/>
      <c r="Q1511" s="874"/>
      <c r="R1511" s="874"/>
      <c r="S1511" s="841"/>
      <c r="T1511" s="854"/>
    </row>
    <row r="1512" spans="1:20">
      <c r="D1512" s="49"/>
      <c r="E1512" s="805"/>
      <c r="F1512" s="195"/>
      <c r="G1512" s="12"/>
      <c r="H1512" s="7"/>
      <c r="I1512" s="21"/>
      <c r="J1512" s="10"/>
      <c r="K1512" s="10"/>
      <c r="L1512" s="10"/>
      <c r="M1512" s="9"/>
      <c r="N1512" s="948"/>
      <c r="O1512" s="900"/>
      <c r="P1512" s="901"/>
      <c r="Q1512" s="874"/>
      <c r="R1512" s="874"/>
      <c r="S1512" s="841"/>
      <c r="T1512" s="854"/>
    </row>
    <row r="1513" spans="1:20">
      <c r="D1513" s="49" t="s">
        <v>15</v>
      </c>
      <c r="E1513" s="805"/>
      <c r="F1513" s="195"/>
      <c r="G1513" s="12" t="s">
        <v>1418</v>
      </c>
      <c r="H1513" s="7"/>
      <c r="I1513" s="21"/>
      <c r="J1513" s="10"/>
      <c r="K1513" s="10"/>
      <c r="L1513" s="10"/>
      <c r="M1513" s="9"/>
      <c r="N1513" s="948"/>
      <c r="O1513" s="900"/>
      <c r="P1513" s="901"/>
      <c r="Q1513" s="874"/>
      <c r="R1513" s="874"/>
      <c r="S1513" s="841"/>
      <c r="T1513" s="854"/>
    </row>
    <row r="1514" spans="1:20" s="610" customFormat="1" ht="38.25">
      <c r="A1514" s="915"/>
      <c r="B1514" s="919"/>
      <c r="C1514" s="913" t="s">
        <v>2455</v>
      </c>
      <c r="D1514" s="49" t="s">
        <v>249</v>
      </c>
      <c r="E1514" s="805" t="s">
        <v>1760</v>
      </c>
      <c r="F1514" s="195"/>
      <c r="G1514" s="12" t="s">
        <v>1761</v>
      </c>
      <c r="H1514" s="18" t="s">
        <v>1078</v>
      </c>
      <c r="I1514" s="51">
        <v>8</v>
      </c>
      <c r="J1514" s="10">
        <v>394.78</v>
      </c>
      <c r="K1514" s="9">
        <f>J1514*$S$3</f>
        <v>517.16179999999997</v>
      </c>
      <c r="L1514" s="10">
        <v>16.8</v>
      </c>
      <c r="M1514" s="9">
        <f t="shared" si="100"/>
        <v>604.04</v>
      </c>
      <c r="N1514" s="948">
        <v>0</v>
      </c>
      <c r="O1514" s="900">
        <f t="shared" si="103"/>
        <v>8</v>
      </c>
      <c r="P1514" s="901">
        <f t="shared" si="101"/>
        <v>4832.32</v>
      </c>
      <c r="Q1514" s="873"/>
      <c r="R1514" s="873"/>
      <c r="S1514" s="840"/>
      <c r="T1514" s="853"/>
    </row>
    <row r="1515" spans="1:20" s="610" customFormat="1" ht="25.5">
      <c r="A1515" s="915"/>
      <c r="B1515" s="919"/>
      <c r="C1515" s="913" t="s">
        <v>2455</v>
      </c>
      <c r="D1515" s="49" t="s">
        <v>265</v>
      </c>
      <c r="E1515" s="805" t="s">
        <v>1758</v>
      </c>
      <c r="F1515" s="195"/>
      <c r="G1515" s="12" t="s">
        <v>1759</v>
      </c>
      <c r="H1515" s="18" t="s">
        <v>1078</v>
      </c>
      <c r="I1515" s="51">
        <v>8</v>
      </c>
      <c r="J1515" s="10">
        <v>25.9</v>
      </c>
      <c r="K1515" s="9">
        <f>J1515*$S$3</f>
        <v>33.929000000000002</v>
      </c>
      <c r="L1515" s="10">
        <v>16.8</v>
      </c>
      <c r="M1515" s="9">
        <f t="shared" si="100"/>
        <v>39.630000000000003</v>
      </c>
      <c r="N1515" s="948">
        <v>0</v>
      </c>
      <c r="O1515" s="900">
        <f t="shared" si="103"/>
        <v>8</v>
      </c>
      <c r="P1515" s="901">
        <f t="shared" si="101"/>
        <v>317.04000000000002</v>
      </c>
      <c r="Q1515" s="873"/>
      <c r="R1515" s="873"/>
      <c r="S1515" s="840"/>
      <c r="T1515" s="853"/>
    </row>
    <row r="1516" spans="1:20">
      <c r="D1516" s="49" t="s">
        <v>14</v>
      </c>
      <c r="E1516" s="805"/>
      <c r="F1516" s="195"/>
      <c r="G1516" s="12" t="s">
        <v>440</v>
      </c>
      <c r="H1516" s="18"/>
      <c r="I1516" s="51"/>
      <c r="J1516" s="10"/>
      <c r="K1516" s="10"/>
      <c r="L1516" s="10"/>
      <c r="M1516" s="9"/>
      <c r="N1516" s="948"/>
      <c r="O1516" s="900"/>
      <c r="P1516" s="901"/>
      <c r="Q1516" s="874"/>
      <c r="R1516" s="874"/>
      <c r="S1516" s="841"/>
      <c r="T1516" s="854"/>
    </row>
    <row r="1517" spans="1:20" s="610" customFormat="1" ht="25.5">
      <c r="A1517" s="915"/>
      <c r="B1517" s="919"/>
      <c r="C1517" s="913" t="s">
        <v>2455</v>
      </c>
      <c r="D1517" s="49" t="s">
        <v>181</v>
      </c>
      <c r="E1517" s="57" t="s">
        <v>771</v>
      </c>
      <c r="F1517" s="50"/>
      <c r="G1517" s="12" t="s">
        <v>1757</v>
      </c>
      <c r="H1517" s="18" t="s">
        <v>183</v>
      </c>
      <c r="I1517" s="51">
        <v>1</v>
      </c>
      <c r="J1517" s="10">
        <v>177.63</v>
      </c>
      <c r="K1517" s="9">
        <f>J1517*$S$3</f>
        <v>232.6953</v>
      </c>
      <c r="L1517" s="10">
        <v>16.8</v>
      </c>
      <c r="M1517" s="9">
        <f t="shared" si="100"/>
        <v>271.79000000000002</v>
      </c>
      <c r="N1517" s="948">
        <v>0</v>
      </c>
      <c r="O1517" s="900">
        <f t="shared" si="103"/>
        <v>1</v>
      </c>
      <c r="P1517" s="901">
        <f t="shared" si="101"/>
        <v>271.79000000000002</v>
      </c>
      <c r="Q1517" s="873"/>
      <c r="R1517" s="873"/>
      <c r="S1517" s="840"/>
      <c r="T1517" s="853"/>
    </row>
    <row r="1518" spans="1:20" s="610" customFormat="1" ht="38.25">
      <c r="A1518" s="915"/>
      <c r="B1518" s="919"/>
      <c r="C1518" s="913" t="s">
        <v>2455</v>
      </c>
      <c r="D1518" s="49" t="s">
        <v>180</v>
      </c>
      <c r="E1518" s="57" t="s">
        <v>1107</v>
      </c>
      <c r="F1518" s="50"/>
      <c r="G1518" s="12" t="s">
        <v>1108</v>
      </c>
      <c r="H1518" s="7" t="s">
        <v>326</v>
      </c>
      <c r="I1518" s="21">
        <v>1</v>
      </c>
      <c r="J1518" s="10">
        <v>350</v>
      </c>
      <c r="K1518" s="9">
        <f>J1518*$S$3</f>
        <v>458.5</v>
      </c>
      <c r="L1518" s="10">
        <v>16.8</v>
      </c>
      <c r="M1518" s="9">
        <f t="shared" si="100"/>
        <v>535.53</v>
      </c>
      <c r="N1518" s="948">
        <v>0</v>
      </c>
      <c r="O1518" s="900">
        <f t="shared" si="103"/>
        <v>1</v>
      </c>
      <c r="P1518" s="901">
        <f t="shared" si="101"/>
        <v>535.53</v>
      </c>
      <c r="Q1518" s="873"/>
      <c r="R1518" s="873"/>
      <c r="S1518" s="840"/>
      <c r="T1518" s="853"/>
    </row>
    <row r="1519" spans="1:20">
      <c r="D1519" s="49" t="s">
        <v>13</v>
      </c>
      <c r="E1519" s="805"/>
      <c r="F1519" s="195"/>
      <c r="G1519" s="12" t="s">
        <v>1065</v>
      </c>
      <c r="H1519" s="7"/>
      <c r="I1519" s="21"/>
      <c r="J1519" s="10"/>
      <c r="K1519" s="9"/>
      <c r="L1519" s="10"/>
      <c r="M1519" s="9"/>
      <c r="N1519" s="948"/>
      <c r="O1519" s="900"/>
      <c r="P1519" s="901"/>
      <c r="Q1519" s="874"/>
      <c r="R1519" s="874"/>
      <c r="S1519" s="841"/>
      <c r="T1519" s="854"/>
    </row>
    <row r="1520" spans="1:20" s="610" customFormat="1">
      <c r="A1520" s="915"/>
      <c r="B1520" s="919"/>
      <c r="C1520" s="913" t="s">
        <v>2455</v>
      </c>
      <c r="D1520" s="49" t="s">
        <v>167</v>
      </c>
      <c r="E1520" s="805" t="s">
        <v>1063</v>
      </c>
      <c r="F1520" s="195"/>
      <c r="G1520" s="12" t="s">
        <v>1064</v>
      </c>
      <c r="H1520" s="7" t="s">
        <v>110</v>
      </c>
      <c r="I1520" s="21">
        <v>60</v>
      </c>
      <c r="J1520" s="10">
        <v>6.2</v>
      </c>
      <c r="K1520" s="9">
        <f>J1520*$S$3</f>
        <v>8.1219999999999999</v>
      </c>
      <c r="L1520" s="10">
        <v>16.8</v>
      </c>
      <c r="M1520" s="9">
        <f t="shared" si="100"/>
        <v>9.49</v>
      </c>
      <c r="N1520" s="948">
        <v>0</v>
      </c>
      <c r="O1520" s="900">
        <f t="shared" si="103"/>
        <v>60</v>
      </c>
      <c r="P1520" s="901">
        <f t="shared" si="101"/>
        <v>569.4</v>
      </c>
      <c r="Q1520" s="873"/>
      <c r="R1520" s="873"/>
      <c r="S1520" s="840"/>
      <c r="T1520" s="853"/>
    </row>
    <row r="1521" spans="1:20" s="344" customFormat="1" ht="25.5">
      <c r="A1521" s="915"/>
      <c r="B1521" s="919"/>
      <c r="C1521" s="913"/>
      <c r="D1521" s="49" t="s">
        <v>166</v>
      </c>
      <c r="E1521" s="805">
        <f>'[3]Plan Tron'!B445</f>
        <v>7572</v>
      </c>
      <c r="F1521" s="805" t="str">
        <f>'[3]Plan Tron'!C445</f>
        <v>SINAPI (INSUMO)</v>
      </c>
      <c r="G1521" s="643" t="str">
        <f>'[3]Plan Tron'!D445</f>
        <v>SUPORTE ISOLADOR REFORCADO DIAMETRO NOMINAL 5/16", COM ROSCA SOBERBA E BUCHA</v>
      </c>
      <c r="H1521" s="805" t="str">
        <f>'[3]Plan Tron'!E445</f>
        <v xml:space="preserve">UN </v>
      </c>
      <c r="I1521" s="51">
        <v>36</v>
      </c>
      <c r="J1521" s="10">
        <v>5.18</v>
      </c>
      <c r="K1521" s="10">
        <f>'[3]Plan Tron'!F445</f>
        <v>5.37</v>
      </c>
      <c r="L1521" s="10">
        <v>16.8</v>
      </c>
      <c r="M1521" s="9">
        <f t="shared" si="100"/>
        <v>6.27</v>
      </c>
      <c r="N1521" s="948">
        <v>0</v>
      </c>
      <c r="O1521" s="900">
        <f t="shared" si="103"/>
        <v>36</v>
      </c>
      <c r="P1521" s="901">
        <f t="shared" si="101"/>
        <v>225.72</v>
      </c>
      <c r="Q1521" s="874"/>
      <c r="R1521" s="874"/>
      <c r="S1521" s="841"/>
      <c r="T1521" s="854"/>
    </row>
    <row r="1522" spans="1:20" s="344" customFormat="1" ht="25.5">
      <c r="A1522" s="915"/>
      <c r="B1522" s="919"/>
      <c r="C1522" s="913"/>
      <c r="D1522" s="49" t="s">
        <v>165</v>
      </c>
      <c r="E1522" s="805">
        <f>'[3]Plan Tron'!B446</f>
        <v>3396</v>
      </c>
      <c r="F1522" s="805" t="str">
        <f>'[3]Plan Tron'!C446</f>
        <v>SINAPI (INSUMO)</v>
      </c>
      <c r="G1522" s="643" t="str">
        <f>'[3]Plan Tron'!D446</f>
        <v xml:space="preserve">SUPORTE ISOLADOR SIMPLES DIAMETRO NOMINAL 5/16", COM ROSCA SOBERBA E BUCHA </v>
      </c>
      <c r="H1522" s="805" t="str">
        <f>'[3]Plan Tron'!E446</f>
        <v xml:space="preserve">UN </v>
      </c>
      <c r="I1522" s="51">
        <v>32</v>
      </c>
      <c r="J1522" s="10">
        <v>2.19</v>
      </c>
      <c r="K1522" s="10">
        <f>'[3]Plan Tron'!F446</f>
        <v>3.8</v>
      </c>
      <c r="L1522" s="10">
        <v>16.8</v>
      </c>
      <c r="M1522" s="9">
        <f t="shared" si="100"/>
        <v>4.4400000000000004</v>
      </c>
      <c r="N1522" s="948">
        <v>0</v>
      </c>
      <c r="O1522" s="900">
        <f t="shared" si="103"/>
        <v>32</v>
      </c>
      <c r="P1522" s="901">
        <f t="shared" si="101"/>
        <v>142.08000000000001</v>
      </c>
      <c r="Q1522" s="874"/>
      <c r="R1522" s="874"/>
      <c r="S1522" s="841"/>
      <c r="T1522" s="854"/>
    </row>
    <row r="1523" spans="1:20" s="344" customFormat="1" ht="25.5">
      <c r="A1523" s="915"/>
      <c r="B1523" s="919"/>
      <c r="C1523" s="913"/>
      <c r="D1523" s="49" t="s">
        <v>164</v>
      </c>
      <c r="E1523" s="805">
        <f>'[3]Plan Tron'!B447</f>
        <v>11864</v>
      </c>
      <c r="F1523" s="805" t="str">
        <f>'[3]Plan Tron'!C447</f>
        <v>SINAPI (INSUMO)</v>
      </c>
      <c r="G1523" s="643" t="str">
        <f>'[3]Plan Tron'!D447</f>
        <v xml:space="preserve">CONECTOR METALICO TIPO PARAFUSO FENDIDO (SPLIT BOLT), PARA CABOS ATE 95 MM2 </v>
      </c>
      <c r="H1523" s="805" t="str">
        <f>'[3]Plan Tron'!E447</f>
        <v xml:space="preserve">UN </v>
      </c>
      <c r="I1523" s="51">
        <v>13</v>
      </c>
      <c r="J1523" s="10">
        <v>9.8699999999999992</v>
      </c>
      <c r="K1523" s="10">
        <f>'[3]Plan Tron'!F447</f>
        <v>12.31</v>
      </c>
      <c r="L1523" s="10">
        <v>16.8</v>
      </c>
      <c r="M1523" s="9">
        <f t="shared" si="100"/>
        <v>14.38</v>
      </c>
      <c r="N1523" s="948">
        <v>0</v>
      </c>
      <c r="O1523" s="900">
        <f t="shared" si="103"/>
        <v>13</v>
      </c>
      <c r="P1523" s="901">
        <f t="shared" si="101"/>
        <v>186.94</v>
      </c>
      <c r="Q1523" s="874"/>
      <c r="R1523" s="874"/>
      <c r="S1523" s="841"/>
      <c r="T1523" s="854"/>
    </row>
    <row r="1524" spans="1:20" s="610" customFormat="1">
      <c r="A1524" s="915"/>
      <c r="B1524" s="919"/>
      <c r="C1524" s="913" t="s">
        <v>2455</v>
      </c>
      <c r="D1524" s="49" t="s">
        <v>1309</v>
      </c>
      <c r="E1524" s="57" t="s">
        <v>268</v>
      </c>
      <c r="F1524" s="50"/>
      <c r="G1524" s="12" t="s">
        <v>1062</v>
      </c>
      <c r="H1524" s="18" t="s">
        <v>158</v>
      </c>
      <c r="I1524" s="51">
        <v>3</v>
      </c>
      <c r="J1524" s="10">
        <v>29.48</v>
      </c>
      <c r="K1524" s="9">
        <f t="shared" ref="K1524:K1529" si="104">J1524*$S$3</f>
        <v>38.6188</v>
      </c>
      <c r="L1524" s="10">
        <v>16.8</v>
      </c>
      <c r="M1524" s="9">
        <f t="shared" si="100"/>
        <v>45.11</v>
      </c>
      <c r="N1524" s="948">
        <v>0</v>
      </c>
      <c r="O1524" s="900">
        <f t="shared" si="103"/>
        <v>3</v>
      </c>
      <c r="P1524" s="901">
        <f t="shared" si="101"/>
        <v>135.33000000000001</v>
      </c>
      <c r="Q1524" s="873"/>
      <c r="R1524" s="873"/>
      <c r="S1524" s="840"/>
      <c r="T1524" s="853"/>
    </row>
    <row r="1525" spans="1:20" s="610" customFormat="1" ht="25.5">
      <c r="A1525" s="915"/>
      <c r="B1525" s="919"/>
      <c r="C1525" s="913" t="s">
        <v>2455</v>
      </c>
      <c r="D1525" s="49" t="s">
        <v>1308</v>
      </c>
      <c r="E1525" s="805" t="s">
        <v>193</v>
      </c>
      <c r="F1525" s="195"/>
      <c r="G1525" s="12" t="s">
        <v>194</v>
      </c>
      <c r="H1525" s="18" t="s">
        <v>158</v>
      </c>
      <c r="I1525" s="51">
        <v>1</v>
      </c>
      <c r="J1525" s="10">
        <v>180</v>
      </c>
      <c r="K1525" s="9">
        <f t="shared" si="104"/>
        <v>235.8</v>
      </c>
      <c r="L1525" s="10">
        <v>16.8</v>
      </c>
      <c r="M1525" s="9">
        <f t="shared" si="100"/>
        <v>275.41000000000003</v>
      </c>
      <c r="N1525" s="948">
        <v>0</v>
      </c>
      <c r="O1525" s="900">
        <f t="shared" si="103"/>
        <v>1</v>
      </c>
      <c r="P1525" s="901">
        <f t="shared" si="101"/>
        <v>275.41000000000003</v>
      </c>
      <c r="Q1525" s="873"/>
      <c r="R1525" s="873"/>
      <c r="S1525" s="840"/>
      <c r="T1525" s="853"/>
    </row>
    <row r="1526" spans="1:20" s="610" customFormat="1">
      <c r="A1526" s="915"/>
      <c r="B1526" s="919"/>
      <c r="C1526" s="913" t="s">
        <v>2455</v>
      </c>
      <c r="D1526" s="49" t="s">
        <v>1307</v>
      </c>
      <c r="E1526" s="57" t="s">
        <v>190</v>
      </c>
      <c r="F1526" s="50"/>
      <c r="G1526" s="12" t="s">
        <v>191</v>
      </c>
      <c r="H1526" s="7" t="s">
        <v>158</v>
      </c>
      <c r="I1526" s="21">
        <v>10</v>
      </c>
      <c r="J1526" s="10">
        <v>17.5</v>
      </c>
      <c r="K1526" s="9">
        <f t="shared" si="104"/>
        <v>22.925000000000001</v>
      </c>
      <c r="L1526" s="10">
        <v>16.8</v>
      </c>
      <c r="M1526" s="9">
        <f t="shared" si="100"/>
        <v>26.78</v>
      </c>
      <c r="N1526" s="948">
        <v>0</v>
      </c>
      <c r="O1526" s="900">
        <f t="shared" si="103"/>
        <v>10</v>
      </c>
      <c r="P1526" s="901">
        <f t="shared" si="101"/>
        <v>267.8</v>
      </c>
      <c r="Q1526" s="873"/>
      <c r="R1526" s="873"/>
      <c r="S1526" s="840"/>
      <c r="T1526" s="853"/>
    </row>
    <row r="1527" spans="1:20" s="610" customFormat="1">
      <c r="A1527" s="915"/>
      <c r="B1527" s="919"/>
      <c r="C1527" s="913" t="s">
        <v>2455</v>
      </c>
      <c r="D1527" s="49" t="s">
        <v>1306</v>
      </c>
      <c r="E1527" s="57" t="s">
        <v>1060</v>
      </c>
      <c r="F1527" s="50"/>
      <c r="G1527" s="12" t="s">
        <v>1061</v>
      </c>
      <c r="H1527" s="18" t="s">
        <v>158</v>
      </c>
      <c r="I1527" s="51">
        <v>3</v>
      </c>
      <c r="J1527" s="10">
        <v>24.82</v>
      </c>
      <c r="K1527" s="9">
        <f t="shared" si="104"/>
        <v>32.514200000000002</v>
      </c>
      <c r="L1527" s="10">
        <v>16.8</v>
      </c>
      <c r="M1527" s="9">
        <f t="shared" si="100"/>
        <v>37.979999999999997</v>
      </c>
      <c r="N1527" s="948">
        <v>0</v>
      </c>
      <c r="O1527" s="900">
        <f t="shared" si="103"/>
        <v>3</v>
      </c>
      <c r="P1527" s="901">
        <f t="shared" si="101"/>
        <v>113.94</v>
      </c>
      <c r="Q1527" s="873"/>
      <c r="R1527" s="873"/>
      <c r="S1527" s="840"/>
      <c r="T1527" s="853"/>
    </row>
    <row r="1528" spans="1:20" s="610" customFormat="1">
      <c r="A1528" s="915"/>
      <c r="B1528" s="919"/>
      <c r="C1528" s="913" t="s">
        <v>2455</v>
      </c>
      <c r="D1528" s="49" t="s">
        <v>1756</v>
      </c>
      <c r="E1528" s="57" t="s">
        <v>1058</v>
      </c>
      <c r="F1528" s="50"/>
      <c r="G1528" s="12" t="s">
        <v>1059</v>
      </c>
      <c r="H1528" s="7" t="s">
        <v>158</v>
      </c>
      <c r="I1528" s="21">
        <v>3</v>
      </c>
      <c r="J1528" s="10">
        <v>10.6</v>
      </c>
      <c r="K1528" s="9">
        <f t="shared" si="104"/>
        <v>13.885999999999999</v>
      </c>
      <c r="L1528" s="10">
        <v>16.8</v>
      </c>
      <c r="M1528" s="9">
        <f t="shared" si="100"/>
        <v>16.22</v>
      </c>
      <c r="N1528" s="948">
        <v>0</v>
      </c>
      <c r="O1528" s="900">
        <f t="shared" si="103"/>
        <v>3</v>
      </c>
      <c r="P1528" s="901">
        <f t="shared" si="101"/>
        <v>48.66</v>
      </c>
      <c r="Q1528" s="873"/>
      <c r="R1528" s="873"/>
      <c r="S1528" s="840"/>
      <c r="T1528" s="853"/>
    </row>
    <row r="1529" spans="1:20" s="610" customFormat="1">
      <c r="A1529" s="915"/>
      <c r="B1529" s="919"/>
      <c r="C1529" s="913" t="s">
        <v>2455</v>
      </c>
      <c r="D1529" s="49" t="s">
        <v>1755</v>
      </c>
      <c r="E1529" s="805" t="s">
        <v>1056</v>
      </c>
      <c r="F1529" s="195"/>
      <c r="G1529" s="12" t="s">
        <v>1057</v>
      </c>
      <c r="H1529" s="18" t="s">
        <v>158</v>
      </c>
      <c r="I1529" s="51">
        <v>6</v>
      </c>
      <c r="J1529" s="10">
        <v>22.3</v>
      </c>
      <c r="K1529" s="9">
        <f t="shared" si="104"/>
        <v>29.213000000000001</v>
      </c>
      <c r="L1529" s="10">
        <v>16.8</v>
      </c>
      <c r="M1529" s="9">
        <f t="shared" si="100"/>
        <v>34.119999999999997</v>
      </c>
      <c r="N1529" s="948">
        <v>0</v>
      </c>
      <c r="O1529" s="900">
        <f t="shared" si="103"/>
        <v>6</v>
      </c>
      <c r="P1529" s="901">
        <f t="shared" si="101"/>
        <v>204.72</v>
      </c>
      <c r="Q1529" s="873"/>
      <c r="R1529" s="873"/>
      <c r="S1529" s="840"/>
      <c r="T1529" s="853"/>
    </row>
    <row r="1530" spans="1:20">
      <c r="D1530" s="49" t="s">
        <v>12</v>
      </c>
      <c r="E1530" s="805"/>
      <c r="F1530" s="195"/>
      <c r="G1530" s="12" t="s">
        <v>867</v>
      </c>
      <c r="H1530" s="18"/>
      <c r="I1530" s="51"/>
      <c r="J1530" s="10"/>
      <c r="K1530" s="10"/>
      <c r="L1530" s="10"/>
      <c r="M1530" s="9"/>
      <c r="N1530" s="948"/>
      <c r="O1530" s="900"/>
      <c r="P1530" s="901"/>
      <c r="Q1530" s="874"/>
      <c r="R1530" s="874"/>
      <c r="S1530" s="841"/>
      <c r="T1530" s="854"/>
    </row>
    <row r="1531" spans="1:20" s="610" customFormat="1" ht="25.5">
      <c r="A1531" s="915"/>
      <c r="B1531" s="919"/>
      <c r="C1531" s="913" t="s">
        <v>2455</v>
      </c>
      <c r="D1531" s="49" t="s">
        <v>162</v>
      </c>
      <c r="E1531" s="805" t="s">
        <v>768</v>
      </c>
      <c r="F1531" s="195"/>
      <c r="G1531" s="12" t="s">
        <v>866</v>
      </c>
      <c r="H1531" s="7" t="s">
        <v>326</v>
      </c>
      <c r="I1531" s="21">
        <v>1</v>
      </c>
      <c r="J1531" s="10">
        <v>423.43</v>
      </c>
      <c r="K1531" s="9">
        <f>J1531*$S$3</f>
        <v>554.69330000000002</v>
      </c>
      <c r="L1531" s="10">
        <v>16.8</v>
      </c>
      <c r="M1531" s="9">
        <f t="shared" si="100"/>
        <v>647.88</v>
      </c>
      <c r="N1531" s="948">
        <v>0</v>
      </c>
      <c r="O1531" s="900">
        <f t="shared" si="103"/>
        <v>1</v>
      </c>
      <c r="P1531" s="901">
        <f t="shared" si="101"/>
        <v>647.88</v>
      </c>
      <c r="Q1531" s="873"/>
      <c r="R1531" s="873"/>
      <c r="S1531" s="840"/>
      <c r="T1531" s="853"/>
    </row>
    <row r="1532" spans="1:20">
      <c r="D1532" s="49"/>
      <c r="E1532" s="57"/>
      <c r="F1532" s="50"/>
      <c r="G1532" s="12"/>
      <c r="H1532" s="37"/>
      <c r="I1532" s="21"/>
      <c r="J1532" s="10"/>
      <c r="K1532" s="10"/>
      <c r="L1532" s="10"/>
      <c r="M1532" s="9"/>
      <c r="N1532" s="926"/>
      <c r="O1532" s="900"/>
      <c r="P1532" s="901"/>
      <c r="Q1532" s="874"/>
      <c r="R1532" s="874"/>
      <c r="S1532" s="841"/>
      <c r="T1532" s="854"/>
    </row>
    <row r="1533" spans="1:20">
      <c r="D1533" s="49"/>
      <c r="E1533" s="57"/>
      <c r="F1533" s="50"/>
      <c r="G1533" s="56"/>
      <c r="H1533" s="22"/>
      <c r="I1533" s="51"/>
      <c r="J1533" s="20"/>
      <c r="K1533" s="20"/>
      <c r="L1533" s="20"/>
      <c r="M1533" s="9"/>
      <c r="N1533" s="936"/>
      <c r="O1533" s="900"/>
      <c r="P1533" s="901"/>
      <c r="Q1533" s="874"/>
      <c r="R1533" s="874"/>
      <c r="S1533" s="841"/>
      <c r="T1533" s="854"/>
    </row>
    <row r="1534" spans="1:20" s="299" customFormat="1">
      <c r="A1534" s="918"/>
      <c r="B1534" s="922"/>
      <c r="C1534" s="924"/>
      <c r="D1534" s="929"/>
      <c r="E1534" s="930"/>
      <c r="F1534" s="929"/>
      <c r="G1534" s="930" t="s">
        <v>70</v>
      </c>
      <c r="H1534" s="929" t="str">
        <f>D1457</f>
        <v>30.2</v>
      </c>
      <c r="I1534" s="929"/>
      <c r="J1534" s="929"/>
      <c r="K1534" s="929"/>
      <c r="L1534" s="929"/>
      <c r="M1534" s="9"/>
      <c r="N1534" s="937"/>
      <c r="O1534" s="900"/>
      <c r="P1534" s="901">
        <f>SUM(P1463:P1531)</f>
        <v>241124.72999999995</v>
      </c>
      <c r="Q1534" s="874"/>
      <c r="R1534" s="874"/>
      <c r="S1534" s="841"/>
      <c r="T1534" s="854"/>
    </row>
    <row r="1535" spans="1:20">
      <c r="D1535" s="384"/>
      <c r="E1535" s="931"/>
      <c r="F1535" s="384"/>
      <c r="G1535" s="384"/>
      <c r="H1535" s="384"/>
      <c r="I1535" s="384"/>
      <c r="J1535" s="384"/>
      <c r="K1535" s="384"/>
      <c r="L1535" s="384"/>
      <c r="M1535" s="9"/>
      <c r="N1535" s="926"/>
      <c r="O1535" s="900"/>
      <c r="P1535" s="901"/>
      <c r="Q1535" s="874"/>
      <c r="R1535" s="874"/>
      <c r="S1535" s="841"/>
      <c r="T1535" s="854"/>
    </row>
    <row r="1536" spans="1:20" s="310" customFormat="1">
      <c r="A1536" s="915"/>
      <c r="B1536" s="919"/>
      <c r="C1536" s="913"/>
      <c r="D1536" s="108">
        <v>32</v>
      </c>
      <c r="E1536" s="813"/>
      <c r="F1536" s="109"/>
      <c r="G1536" s="108" t="s">
        <v>1982</v>
      </c>
      <c r="H1536" s="109"/>
      <c r="I1536" s="109"/>
      <c r="J1536" s="109"/>
      <c r="K1536" s="109"/>
      <c r="L1536" s="109"/>
      <c r="M1536" s="791"/>
      <c r="N1536" s="378"/>
      <c r="O1536" s="792"/>
      <c r="P1536" s="864"/>
      <c r="Q1536" s="872"/>
      <c r="R1536" s="872"/>
      <c r="S1536" s="842"/>
      <c r="T1536" s="852"/>
    </row>
    <row r="1537" spans="1:20" s="310" customFormat="1">
      <c r="A1537" s="915"/>
      <c r="B1537" s="919"/>
      <c r="C1537" s="913"/>
      <c r="D1537" s="108" t="s">
        <v>26</v>
      </c>
      <c r="E1537" s="813"/>
      <c r="F1537" s="109"/>
      <c r="G1537" s="108" t="s">
        <v>1982</v>
      </c>
      <c r="H1537" s="109"/>
      <c r="I1537" s="109"/>
      <c r="J1537" s="109"/>
      <c r="K1537" s="109"/>
      <c r="L1537" s="109"/>
      <c r="M1537" s="791"/>
      <c r="N1537" s="378"/>
      <c r="O1537" s="792"/>
      <c r="P1537" s="864"/>
      <c r="Q1537" s="872"/>
      <c r="R1537" s="872"/>
      <c r="S1537" s="842"/>
      <c r="T1537" s="852"/>
    </row>
    <row r="1538" spans="1:20">
      <c r="D1538" s="44"/>
      <c r="E1538" s="296"/>
      <c r="F1538" s="44"/>
      <c r="G1538" s="44"/>
      <c r="H1538" s="44"/>
      <c r="I1538" s="44"/>
      <c r="J1538" s="302"/>
      <c r="K1538" s="302"/>
      <c r="L1538" s="44"/>
      <c r="M1538" s="9"/>
      <c r="N1538" s="375"/>
      <c r="O1538" s="789"/>
      <c r="P1538" s="863"/>
      <c r="Q1538" s="874"/>
      <c r="R1538" s="874"/>
      <c r="S1538" s="841"/>
      <c r="T1538" s="854"/>
    </row>
    <row r="1539" spans="1:20">
      <c r="D1539" s="45"/>
      <c r="E1539" s="14"/>
      <c r="F1539" s="46"/>
      <c r="G1539" s="46" t="s">
        <v>1815</v>
      </c>
      <c r="H1539" s="18"/>
      <c r="I1539" s="36"/>
      <c r="J1539" s="313"/>
      <c r="K1539" s="313"/>
      <c r="L1539" s="19"/>
      <c r="M1539" s="9"/>
      <c r="N1539" s="375"/>
      <c r="O1539" s="789"/>
      <c r="P1539" s="863"/>
      <c r="Q1539" s="874"/>
      <c r="R1539" s="874"/>
      <c r="S1539" s="841"/>
      <c r="T1539" s="854"/>
    </row>
    <row r="1540" spans="1:20">
      <c r="D1540" s="45"/>
      <c r="E1540" s="14"/>
      <c r="F1540" s="46"/>
      <c r="G1540" s="46"/>
      <c r="H1540" s="18"/>
      <c r="I1540" s="36"/>
      <c r="J1540" s="313"/>
      <c r="K1540" s="313"/>
      <c r="L1540" s="19"/>
      <c r="M1540" s="9"/>
      <c r="N1540" s="375"/>
      <c r="O1540" s="789"/>
      <c r="P1540" s="863"/>
      <c r="Q1540" s="874"/>
      <c r="R1540" s="874"/>
      <c r="S1540" s="841"/>
      <c r="T1540" s="854"/>
    </row>
    <row r="1541" spans="1:20">
      <c r="D1541" s="45">
        <v>1</v>
      </c>
      <c r="E1541" s="14"/>
      <c r="F1541" s="46"/>
      <c r="G1541" s="46" t="s">
        <v>1814</v>
      </c>
      <c r="H1541" s="284"/>
      <c r="I1541" s="285"/>
      <c r="J1541" s="334"/>
      <c r="K1541" s="334"/>
      <c r="L1541" s="286"/>
      <c r="M1541" s="9"/>
      <c r="N1541" s="375"/>
      <c r="O1541" s="789"/>
      <c r="P1541" s="863"/>
      <c r="Q1541" s="874"/>
      <c r="R1541" s="874"/>
      <c r="S1541" s="841"/>
      <c r="T1541" s="854"/>
    </row>
    <row r="1542" spans="1:20">
      <c r="D1542" s="247" t="s">
        <v>20</v>
      </c>
      <c r="E1542" s="820"/>
      <c r="F1542" s="206"/>
      <c r="G1542" s="287" t="s">
        <v>1813</v>
      </c>
      <c r="H1542" s="284"/>
      <c r="I1542" s="285"/>
      <c r="J1542" s="336"/>
      <c r="K1542" s="336"/>
      <c r="L1542" s="284"/>
      <c r="M1542" s="9"/>
      <c r="N1542" s="375"/>
      <c r="O1542" s="789"/>
      <c r="P1542" s="863"/>
      <c r="Q1542" s="874"/>
      <c r="R1542" s="874"/>
      <c r="S1542" s="841"/>
      <c r="T1542" s="854"/>
    </row>
    <row r="1543" spans="1:20">
      <c r="D1543" s="49" t="s">
        <v>153</v>
      </c>
      <c r="E1543" s="820"/>
      <c r="F1543" s="206"/>
      <c r="G1543" s="206" t="s">
        <v>1812</v>
      </c>
      <c r="H1543" s="284"/>
      <c r="I1543" s="285"/>
      <c r="J1543" s="336"/>
      <c r="K1543" s="336"/>
      <c r="L1543" s="284"/>
      <c r="M1543" s="9"/>
      <c r="N1543" s="375"/>
      <c r="O1543" s="789"/>
      <c r="P1543" s="863"/>
      <c r="Q1543" s="874"/>
      <c r="R1543" s="874"/>
      <c r="S1543" s="841"/>
      <c r="T1543" s="854"/>
    </row>
    <row r="1544" spans="1:20" s="344" customFormat="1" ht="25.5">
      <c r="A1544" s="915"/>
      <c r="B1544" s="919"/>
      <c r="C1544" s="913"/>
      <c r="D1544" s="49" t="s">
        <v>152</v>
      </c>
      <c r="E1544" s="805">
        <f>'[3]Plan Tron'!B448</f>
        <v>1368</v>
      </c>
      <c r="F1544" s="805" t="str">
        <f>'[3]Plan Tron'!C448</f>
        <v>SINAPI (INSUMO)</v>
      </c>
      <c r="G1544" s="643" t="str">
        <f>'[3]Plan Tron'!D448</f>
        <v>CHUVEIRO COMUM EM PLASTICO BRANCO, COM CANO, 3 TEMPERATURAS, 5500 W (110/220V)</v>
      </c>
      <c r="H1544" s="805" t="str">
        <f>'[3]Plan Tron'!E448</f>
        <v xml:space="preserve">UN </v>
      </c>
      <c r="I1544" s="192">
        <v>1</v>
      </c>
      <c r="J1544" s="10">
        <v>36.5</v>
      </c>
      <c r="K1544" s="10">
        <f>'[3]Plan Tron'!F448</f>
        <v>46.9</v>
      </c>
      <c r="L1544" s="10">
        <v>16.8</v>
      </c>
      <c r="M1544" s="9">
        <f t="shared" si="100"/>
        <v>54.78</v>
      </c>
      <c r="N1544" s="382">
        <v>0</v>
      </c>
      <c r="O1544" s="789">
        <f t="shared" si="103"/>
        <v>1</v>
      </c>
      <c r="P1544" s="863">
        <f t="shared" si="101"/>
        <v>54.78</v>
      </c>
      <c r="Q1544" s="874"/>
      <c r="R1544" s="874"/>
      <c r="S1544" s="841"/>
      <c r="T1544" s="854"/>
    </row>
    <row r="1545" spans="1:20" s="344" customFormat="1" ht="25.5">
      <c r="A1545" s="915"/>
      <c r="B1545" s="919"/>
      <c r="C1545" s="913"/>
      <c r="D1545" s="49" t="s">
        <v>320</v>
      </c>
      <c r="E1545" s="805">
        <f>'[3]Plan Tron'!B449</f>
        <v>13415</v>
      </c>
      <c r="F1545" s="805" t="str">
        <f>'[3]Plan Tron'!C449</f>
        <v>SINAPI (INSUMO)</v>
      </c>
      <c r="G1545" s="643" t="str">
        <f>'[3]Plan Tron'!D449</f>
        <v>TORNEIRA CROMADA DE MESA PARA LAVATORIO, PADRAO POPULAR, 1/2 " OU 3/4 " (REF1193)</v>
      </c>
      <c r="H1545" s="805" t="str">
        <f>'[3]Plan Tron'!E449</f>
        <v xml:space="preserve">UN </v>
      </c>
      <c r="I1545" s="192">
        <v>2</v>
      </c>
      <c r="J1545" s="10">
        <v>27.13</v>
      </c>
      <c r="K1545" s="10">
        <f>'[3]Plan Tron'!F449</f>
        <v>39.950000000000003</v>
      </c>
      <c r="L1545" s="10">
        <v>16.8</v>
      </c>
      <c r="M1545" s="9">
        <f t="shared" si="100"/>
        <v>46.66</v>
      </c>
      <c r="N1545" s="382">
        <v>0</v>
      </c>
      <c r="O1545" s="789">
        <f t="shared" si="103"/>
        <v>2</v>
      </c>
      <c r="P1545" s="863">
        <f t="shared" si="101"/>
        <v>93.32</v>
      </c>
      <c r="Q1545" s="874"/>
      <c r="R1545" s="874"/>
      <c r="S1545" s="841"/>
      <c r="T1545" s="854"/>
    </row>
    <row r="1546" spans="1:20" s="344" customFormat="1" ht="25.5">
      <c r="A1546" s="915"/>
      <c r="B1546" s="919"/>
      <c r="C1546" s="913"/>
      <c r="D1546" s="49" t="s">
        <v>1139</v>
      </c>
      <c r="E1546" s="805">
        <f>'[3]Plan Tron'!B450</f>
        <v>6005</v>
      </c>
      <c r="F1546" s="805" t="str">
        <f>'[3]Plan Tron'!C450</f>
        <v>SINAPI (INSUMO)</v>
      </c>
      <c r="G1546" s="643" t="str">
        <f>'[3]Plan Tron'!D450</f>
        <v>REGISTRO GAVETA COM ACABAMENTO E CANOPLA CROMADOS, SIMPLES, BITOLA 3/4 " (REF1509)</v>
      </c>
      <c r="H1546" s="805" t="str">
        <f>'[3]Plan Tron'!E450</f>
        <v xml:space="preserve">UN </v>
      </c>
      <c r="I1546" s="192">
        <v>2</v>
      </c>
      <c r="J1546" s="10">
        <v>49.2</v>
      </c>
      <c r="K1546" s="10">
        <f>'[3]Plan Tron'!F450</f>
        <v>49.2</v>
      </c>
      <c r="L1546" s="10">
        <v>16.8</v>
      </c>
      <c r="M1546" s="9">
        <f t="shared" si="100"/>
        <v>57.47</v>
      </c>
      <c r="N1546" s="382">
        <v>0</v>
      </c>
      <c r="O1546" s="789">
        <f t="shared" si="103"/>
        <v>2</v>
      </c>
      <c r="P1546" s="863">
        <f t="shared" si="101"/>
        <v>114.94</v>
      </c>
      <c r="Q1546" s="874"/>
      <c r="R1546" s="874"/>
      <c r="S1546" s="841"/>
      <c r="T1546" s="854"/>
    </row>
    <row r="1547" spans="1:20">
      <c r="D1547" s="49" t="s">
        <v>151</v>
      </c>
      <c r="E1547" s="805"/>
      <c r="F1547" s="195"/>
      <c r="G1547" s="12" t="s">
        <v>700</v>
      </c>
      <c r="H1547" s="240"/>
      <c r="I1547" s="288"/>
      <c r="J1547" s="334"/>
      <c r="K1547" s="334"/>
      <c r="L1547" s="10"/>
      <c r="M1547" s="9"/>
      <c r="N1547" s="375"/>
      <c r="O1547" s="789"/>
      <c r="P1547" s="863"/>
      <c r="Q1547" s="874"/>
      <c r="R1547" s="874"/>
      <c r="S1547" s="841"/>
      <c r="T1547" s="854"/>
    </row>
    <row r="1548" spans="1:20" s="344" customFormat="1" ht="25.5">
      <c r="A1548" s="915"/>
      <c r="B1548" s="919"/>
      <c r="C1548" s="913"/>
      <c r="D1548" s="49" t="s">
        <v>150</v>
      </c>
      <c r="E1548" s="805">
        <f>'[3]Plan Tron'!B451</f>
        <v>6141</v>
      </c>
      <c r="F1548" s="805" t="str">
        <f>'[3]Plan Tron'!C451</f>
        <v>SINAPI (INSUMO)</v>
      </c>
      <c r="G1548" s="643" t="str">
        <f>'[3]Plan Tron'!D451</f>
        <v xml:space="preserve">ENGATE/RABICHO FLEXIVEL PLASTICO (PVC OU ABS) BRANCO 1/2 " X 30 CM </v>
      </c>
      <c r="H1548" s="805" t="str">
        <f>'[3]Plan Tron'!E451</f>
        <v xml:space="preserve">UN </v>
      </c>
      <c r="I1548" s="192">
        <v>2</v>
      </c>
      <c r="J1548" s="10">
        <v>2.36</v>
      </c>
      <c r="K1548" s="10">
        <f>'[3]Plan Tron'!F451</f>
        <v>2.88</v>
      </c>
      <c r="L1548" s="10">
        <v>16.8</v>
      </c>
      <c r="M1548" s="9">
        <f t="shared" si="100"/>
        <v>3.36</v>
      </c>
      <c r="N1548" s="382">
        <v>0</v>
      </c>
      <c r="O1548" s="789">
        <f t="shared" si="103"/>
        <v>2</v>
      </c>
      <c r="P1548" s="863">
        <f t="shared" si="101"/>
        <v>6.72</v>
      </c>
      <c r="Q1548" s="874"/>
      <c r="R1548" s="874"/>
      <c r="S1548" s="841"/>
      <c r="T1548" s="854"/>
    </row>
    <row r="1549" spans="1:20" s="344" customFormat="1" ht="25.5">
      <c r="A1549" s="915"/>
      <c r="B1549" s="919"/>
      <c r="C1549" s="913"/>
      <c r="D1549" s="49" t="s">
        <v>1283</v>
      </c>
      <c r="E1549" s="805">
        <f>'[3]Plan Tron'!B452</f>
        <v>65</v>
      </c>
      <c r="F1549" s="805" t="str">
        <f>'[3]Plan Tron'!C452</f>
        <v>SINAPI (INSUMO)</v>
      </c>
      <c r="G1549" s="643" t="str">
        <f>'[3]Plan Tron'!D452</f>
        <v xml:space="preserve">ADAPTADOR PVC SOLDAVEL CURTO COM BOLSA E ROSCA, 25 MM X 3/4", PARA AGUA FRIA </v>
      </c>
      <c r="H1549" s="805" t="str">
        <f>'[3]Plan Tron'!E452</f>
        <v xml:space="preserve">UN </v>
      </c>
      <c r="I1549" s="192">
        <v>4</v>
      </c>
      <c r="J1549" s="10">
        <v>0.6</v>
      </c>
      <c r="K1549" s="10">
        <f>'[3]Plan Tron'!F452</f>
        <v>0.69</v>
      </c>
      <c r="L1549" s="10">
        <v>16.8</v>
      </c>
      <c r="M1549" s="9">
        <f t="shared" si="100"/>
        <v>0.81</v>
      </c>
      <c r="N1549" s="382">
        <v>0</v>
      </c>
      <c r="O1549" s="789">
        <f t="shared" si="103"/>
        <v>4</v>
      </c>
      <c r="P1549" s="863">
        <f t="shared" si="101"/>
        <v>3.24</v>
      </c>
      <c r="Q1549" s="874"/>
      <c r="R1549" s="874"/>
      <c r="S1549" s="841"/>
      <c r="T1549" s="854"/>
    </row>
    <row r="1550" spans="1:20" s="344" customFormat="1" ht="25.5">
      <c r="A1550" s="915"/>
      <c r="B1550" s="919"/>
      <c r="C1550" s="913"/>
      <c r="D1550" s="49" t="s">
        <v>1282</v>
      </c>
      <c r="E1550" s="805">
        <f>'[3]Plan Tron'!B453</f>
        <v>1185</v>
      </c>
      <c r="F1550" s="805" t="str">
        <f>'[3]Plan Tron'!C453</f>
        <v>SINAPI (INSUMO)</v>
      </c>
      <c r="G1550" s="643" t="str">
        <f>'[3]Plan Tron'!D453</f>
        <v xml:space="preserve">CAP PVC, SOLDAVEL, 25 MM, PARA AGUA FRIA PREDIAL </v>
      </c>
      <c r="H1550" s="805" t="str">
        <f>'[3]Plan Tron'!E453</f>
        <v xml:space="preserve">UN </v>
      </c>
      <c r="I1550" s="241">
        <v>1</v>
      </c>
      <c r="J1550" s="242">
        <v>0.49</v>
      </c>
      <c r="K1550" s="10">
        <f>'[3]Plan Tron'!F453</f>
        <v>1.05</v>
      </c>
      <c r="L1550" s="10">
        <v>16.8</v>
      </c>
      <c r="M1550" s="9">
        <f t="shared" si="100"/>
        <v>1.23</v>
      </c>
      <c r="N1550" s="382">
        <v>0</v>
      </c>
      <c r="O1550" s="789">
        <f t="shared" si="103"/>
        <v>1</v>
      </c>
      <c r="P1550" s="863">
        <f t="shared" si="101"/>
        <v>1.23</v>
      </c>
      <c r="Q1550" s="874"/>
      <c r="R1550" s="874"/>
      <c r="S1550" s="841"/>
      <c r="T1550" s="854"/>
    </row>
    <row r="1551" spans="1:20" s="344" customFormat="1" ht="25.5">
      <c r="A1551" s="915"/>
      <c r="B1551" s="919"/>
      <c r="C1551" s="913"/>
      <c r="D1551" s="49" t="s">
        <v>1281</v>
      </c>
      <c r="E1551" s="805">
        <f>'[3]Plan Tron'!B454</f>
        <v>3529</v>
      </c>
      <c r="F1551" s="805" t="str">
        <f>'[3]Plan Tron'!C454</f>
        <v>SINAPI (INSUMO)</v>
      </c>
      <c r="G1551" s="643" t="str">
        <f>'[3]Plan Tron'!D454</f>
        <v xml:space="preserve">JOELHO PVC, SOLDAVEL, 90 GRAUS, 25 MM, PARA AGUA FRIA PREDIAL </v>
      </c>
      <c r="H1551" s="805" t="str">
        <f>'[3]Plan Tron'!E454</f>
        <v xml:space="preserve">UN </v>
      </c>
      <c r="I1551" s="241">
        <v>5</v>
      </c>
      <c r="J1551" s="10">
        <v>0.5</v>
      </c>
      <c r="K1551" s="10">
        <f>'[3]Plan Tron'!F454</f>
        <v>0.65</v>
      </c>
      <c r="L1551" s="10">
        <v>16.8</v>
      </c>
      <c r="M1551" s="9">
        <f t="shared" si="100"/>
        <v>0.76</v>
      </c>
      <c r="N1551" s="382">
        <v>0</v>
      </c>
      <c r="O1551" s="789">
        <f t="shared" si="103"/>
        <v>5</v>
      </c>
      <c r="P1551" s="863">
        <f t="shared" si="101"/>
        <v>3.8</v>
      </c>
      <c r="Q1551" s="874"/>
      <c r="R1551" s="874"/>
      <c r="S1551" s="841"/>
      <c r="T1551" s="854"/>
    </row>
    <row r="1552" spans="1:20" s="344" customFormat="1" ht="25.5">
      <c r="A1552" s="915"/>
      <c r="B1552" s="919"/>
      <c r="C1552" s="913"/>
      <c r="D1552" s="49" t="s">
        <v>1811</v>
      </c>
      <c r="E1552" s="805">
        <f>'[3]Plan Tron'!B455</f>
        <v>7139</v>
      </c>
      <c r="F1552" s="805" t="str">
        <f>'[3]Plan Tron'!C455</f>
        <v>SINAPI (INSUMO)</v>
      </c>
      <c r="G1552" s="643" t="str">
        <f>'[3]Plan Tron'!D455</f>
        <v xml:space="preserve">TE SOLDAVEL, PVC, 90 GRAUS, 25 MM, PARA AGUA FRIA PREDIAL (NBR 5648) </v>
      </c>
      <c r="H1552" s="805" t="str">
        <f>'[3]Plan Tron'!E455</f>
        <v xml:space="preserve">UN </v>
      </c>
      <c r="I1552" s="241">
        <v>2</v>
      </c>
      <c r="J1552" s="10">
        <v>0.78</v>
      </c>
      <c r="K1552" s="10">
        <f>'[3]Plan Tron'!F455</f>
        <v>1.1000000000000001</v>
      </c>
      <c r="L1552" s="10">
        <v>16.8</v>
      </c>
      <c r="M1552" s="9">
        <f t="shared" si="100"/>
        <v>1.28</v>
      </c>
      <c r="N1552" s="382">
        <v>0</v>
      </c>
      <c r="O1552" s="789">
        <f t="shared" si="103"/>
        <v>2</v>
      </c>
      <c r="P1552" s="863">
        <f t="shared" si="101"/>
        <v>2.56</v>
      </c>
      <c r="Q1552" s="874"/>
      <c r="R1552" s="874"/>
      <c r="S1552" s="841"/>
      <c r="T1552" s="854"/>
    </row>
    <row r="1553" spans="1:20" s="344" customFormat="1" ht="25.5">
      <c r="A1553" s="915"/>
      <c r="B1553" s="919"/>
      <c r="C1553" s="913"/>
      <c r="D1553" s="49" t="s">
        <v>1810</v>
      </c>
      <c r="E1553" s="805">
        <f>'[3]Plan Tron'!B456</f>
        <v>20147</v>
      </c>
      <c r="F1553" s="805" t="str">
        <f>'[3]Plan Tron'!C456</f>
        <v>SINAPI (INSUMO)</v>
      </c>
      <c r="G1553" s="643" t="str">
        <f>'[3]Plan Tron'!D456</f>
        <v>JOELHO PVC, SOLDAVEL, COM BUCHA DE LATAO, 90 GRAUS, 25 MM X 1/2", PARA AGUA FRIA PREDIAL</v>
      </c>
      <c r="H1553" s="805" t="str">
        <f>'[3]Plan Tron'!E456</f>
        <v xml:space="preserve">UN </v>
      </c>
      <c r="I1553" s="241">
        <v>3</v>
      </c>
      <c r="J1553" s="10">
        <v>4.3</v>
      </c>
      <c r="K1553" s="10">
        <f>'[3]Plan Tron'!F456</f>
        <v>5.04</v>
      </c>
      <c r="L1553" s="10">
        <v>16.8</v>
      </c>
      <c r="M1553" s="9">
        <f t="shared" ref="M1553:M1616" si="105">ROUND(K1553*(L1553/100+1),2)</f>
        <v>5.89</v>
      </c>
      <c r="N1553" s="382">
        <v>0</v>
      </c>
      <c r="O1553" s="789">
        <f t="shared" si="103"/>
        <v>3</v>
      </c>
      <c r="P1553" s="863">
        <f t="shared" ref="P1553:P1616" si="106">ROUND(O1553*M1553,2)</f>
        <v>17.670000000000002</v>
      </c>
      <c r="Q1553" s="874"/>
      <c r="R1553" s="874"/>
      <c r="S1553" s="841"/>
      <c r="T1553" s="854"/>
    </row>
    <row r="1554" spans="1:20">
      <c r="D1554" s="49" t="s">
        <v>149</v>
      </c>
      <c r="E1554" s="349"/>
      <c r="F1554" s="12"/>
      <c r="G1554" s="12" t="s">
        <v>1809</v>
      </c>
      <c r="H1554" s="240"/>
      <c r="I1554" s="241"/>
      <c r="J1554" s="334"/>
      <c r="K1554" s="334"/>
      <c r="L1554" s="10"/>
      <c r="M1554" s="9"/>
      <c r="N1554" s="382"/>
      <c r="O1554" s="789"/>
      <c r="P1554" s="863"/>
      <c r="Q1554" s="874"/>
      <c r="R1554" s="874"/>
      <c r="S1554" s="841"/>
      <c r="T1554" s="854"/>
    </row>
    <row r="1555" spans="1:20" s="344" customFormat="1" ht="25.5">
      <c r="A1555" s="915"/>
      <c r="B1555" s="919"/>
      <c r="C1555" s="913"/>
      <c r="D1555" s="49" t="s">
        <v>148</v>
      </c>
      <c r="E1555" s="805">
        <f>'[3]Plan Tron'!B457</f>
        <v>9868</v>
      </c>
      <c r="F1555" s="805" t="str">
        <f>'[3]Plan Tron'!C457</f>
        <v>SINAPI (INSUMO)</v>
      </c>
      <c r="G1555" s="643" t="str">
        <f>'[3]Plan Tron'!D457</f>
        <v xml:space="preserve">TUBO PVC, SOLDAVEL, DN 25 MM, AGUA FRIA (NBR-5648) </v>
      </c>
      <c r="H1555" s="805" t="str">
        <f>'[3]Plan Tron'!E457</f>
        <v>M</v>
      </c>
      <c r="I1555" s="241">
        <v>6.09</v>
      </c>
      <c r="J1555" s="10">
        <v>2.57</v>
      </c>
      <c r="K1555" s="10">
        <f>'[3]Plan Tron'!F457</f>
        <v>2.71</v>
      </c>
      <c r="L1555" s="10">
        <v>16.8</v>
      </c>
      <c r="M1555" s="9">
        <f t="shared" si="105"/>
        <v>3.17</v>
      </c>
      <c r="N1555" s="382">
        <v>0</v>
      </c>
      <c r="O1555" s="789">
        <f t="shared" si="103"/>
        <v>6.09</v>
      </c>
      <c r="P1555" s="863">
        <f t="shared" si="106"/>
        <v>19.309999999999999</v>
      </c>
      <c r="Q1555" s="874"/>
      <c r="R1555" s="874"/>
      <c r="S1555" s="841"/>
      <c r="T1555" s="854"/>
    </row>
    <row r="1556" spans="1:20">
      <c r="D1556" s="49"/>
      <c r="E1556" s="348"/>
      <c r="F1556" s="74"/>
      <c r="G1556" s="12"/>
      <c r="H1556" s="240"/>
      <c r="I1556" s="241"/>
      <c r="J1556" s="303"/>
      <c r="K1556" s="303"/>
      <c r="L1556" s="10"/>
      <c r="M1556" s="9"/>
      <c r="N1556" s="382"/>
      <c r="O1556" s="789"/>
      <c r="P1556" s="863"/>
      <c r="Q1556" s="874"/>
      <c r="R1556" s="874"/>
      <c r="S1556" s="841"/>
      <c r="T1556" s="854"/>
    </row>
    <row r="1557" spans="1:20">
      <c r="D1557" s="49"/>
      <c r="E1557" s="349"/>
      <c r="F1557" s="12"/>
      <c r="G1557" s="12"/>
      <c r="H1557" s="240"/>
      <c r="I1557" s="241"/>
      <c r="J1557" s="334"/>
      <c r="K1557" s="334"/>
      <c r="L1557" s="10"/>
      <c r="M1557" s="9"/>
      <c r="N1557" s="382"/>
      <c r="O1557" s="789"/>
      <c r="P1557" s="863"/>
      <c r="Q1557" s="874"/>
      <c r="R1557" s="874"/>
      <c r="S1557" s="841"/>
      <c r="T1557" s="854"/>
    </row>
    <row r="1558" spans="1:20">
      <c r="D1558" s="49" t="s">
        <v>19</v>
      </c>
      <c r="E1558" s="349"/>
      <c r="F1558" s="12"/>
      <c r="G1558" s="12" t="s">
        <v>1808</v>
      </c>
      <c r="H1558" s="240"/>
      <c r="I1558" s="241"/>
      <c r="J1558" s="334"/>
      <c r="K1558" s="334"/>
      <c r="L1558" s="10"/>
      <c r="M1558" s="9"/>
      <c r="N1558" s="382"/>
      <c r="O1558" s="789"/>
      <c r="P1558" s="863"/>
      <c r="Q1558" s="874"/>
      <c r="R1558" s="874"/>
      <c r="S1558" s="841"/>
      <c r="T1558" s="854"/>
    </row>
    <row r="1559" spans="1:20">
      <c r="D1559" s="49" t="s">
        <v>147</v>
      </c>
      <c r="E1559" s="349"/>
      <c r="F1559" s="12"/>
      <c r="G1559" s="12" t="s">
        <v>1807</v>
      </c>
      <c r="H1559" s="240"/>
      <c r="I1559" s="241"/>
      <c r="J1559" s="334"/>
      <c r="K1559" s="334"/>
      <c r="L1559" s="10"/>
      <c r="M1559" s="9"/>
      <c r="N1559" s="382"/>
      <c r="O1559" s="789"/>
      <c r="P1559" s="863"/>
      <c r="Q1559" s="874"/>
      <c r="R1559" s="874"/>
      <c r="S1559" s="841"/>
      <c r="T1559" s="854"/>
    </row>
    <row r="1560" spans="1:20" s="344" customFormat="1" ht="25.5">
      <c r="A1560" s="915"/>
      <c r="B1560" s="919"/>
      <c r="C1560" s="913"/>
      <c r="D1560" s="49" t="s">
        <v>146</v>
      </c>
      <c r="E1560" s="805">
        <f>'[3]Plan Tron'!B458</f>
        <v>9835</v>
      </c>
      <c r="F1560" s="805" t="str">
        <f>'[3]Plan Tron'!C458</f>
        <v>SINAPI (INSUMO)</v>
      </c>
      <c r="G1560" s="643" t="str">
        <f>'[3]Plan Tron'!D458</f>
        <v xml:space="preserve">TUBO PVC SERIE NORMAL, DN 40 MM, PARA ESGOTO PREDIAL (NBR 5688) </v>
      </c>
      <c r="H1560" s="805" t="str">
        <f>'[3]Plan Tron'!E458</f>
        <v>M</v>
      </c>
      <c r="I1560" s="192">
        <v>3.5</v>
      </c>
      <c r="J1560" s="10">
        <v>2.95</v>
      </c>
      <c r="K1560" s="10">
        <f>'[3]Plan Tron'!F458</f>
        <v>3.71</v>
      </c>
      <c r="L1560" s="10">
        <v>16.8</v>
      </c>
      <c r="M1560" s="9">
        <f t="shared" si="105"/>
        <v>4.33</v>
      </c>
      <c r="N1560" s="382">
        <v>0</v>
      </c>
      <c r="O1560" s="789">
        <f t="shared" si="103"/>
        <v>3.5</v>
      </c>
      <c r="P1560" s="863">
        <f t="shared" si="106"/>
        <v>15.16</v>
      </c>
      <c r="Q1560" s="874"/>
      <c r="R1560" s="874"/>
      <c r="S1560" s="841"/>
      <c r="T1560" s="854"/>
    </row>
    <row r="1561" spans="1:20" s="344" customFormat="1" ht="25.5">
      <c r="A1561" s="915"/>
      <c r="B1561" s="919"/>
      <c r="C1561" s="913"/>
      <c r="D1561" s="49" t="s">
        <v>1197</v>
      </c>
      <c r="E1561" s="805">
        <f>'[3]Plan Tron'!B459</f>
        <v>9838</v>
      </c>
      <c r="F1561" s="805" t="str">
        <f>'[3]Plan Tron'!C459</f>
        <v>SINAPI (INSUMO)</v>
      </c>
      <c r="G1561" s="643" t="str">
        <f>'[3]Plan Tron'!D459</f>
        <v xml:space="preserve">TUBO PVC SERIE NORMAL, DN 50 MM, PARA ESGOTO PREDIAL (NBR 5688) </v>
      </c>
      <c r="H1561" s="805" t="str">
        <f>'[3]Plan Tron'!E459</f>
        <v>M</v>
      </c>
      <c r="I1561" s="192">
        <v>1</v>
      </c>
      <c r="J1561" s="10">
        <v>5.58</v>
      </c>
      <c r="K1561" s="10">
        <f>'[3]Plan Tron'!F459</f>
        <v>6.38</v>
      </c>
      <c r="L1561" s="10">
        <v>16.8</v>
      </c>
      <c r="M1561" s="9">
        <f t="shared" si="105"/>
        <v>7.45</v>
      </c>
      <c r="N1561" s="382">
        <v>0</v>
      </c>
      <c r="O1561" s="789">
        <f t="shared" si="103"/>
        <v>1</v>
      </c>
      <c r="P1561" s="863">
        <f t="shared" si="106"/>
        <v>7.45</v>
      </c>
      <c r="Q1561" s="874"/>
      <c r="R1561" s="874"/>
      <c r="S1561" s="841"/>
      <c r="T1561" s="854"/>
    </row>
    <row r="1562" spans="1:20" s="344" customFormat="1" ht="25.5">
      <c r="A1562" s="915"/>
      <c r="B1562" s="919"/>
      <c r="C1562" s="913"/>
      <c r="D1562" s="49" t="s">
        <v>1806</v>
      </c>
      <c r="E1562" s="805">
        <f>'[3]Plan Tron'!B460</f>
        <v>9836</v>
      </c>
      <c r="F1562" s="805" t="str">
        <f>'[3]Plan Tron'!C460</f>
        <v>SINAPI (INSUMO)</v>
      </c>
      <c r="G1562" s="643" t="str">
        <f>'[3]Plan Tron'!D460</f>
        <v xml:space="preserve">TUBO PVC SERIE NORMAL, DN 100 MM, PARA ESGOTO PREDIAL (NBR 5688) </v>
      </c>
      <c r="H1562" s="805" t="str">
        <f>'[3]Plan Tron'!E460</f>
        <v>M</v>
      </c>
      <c r="I1562" s="192">
        <v>1</v>
      </c>
      <c r="J1562" s="10">
        <v>8.5299999999999994</v>
      </c>
      <c r="K1562" s="10">
        <f>'[3]Plan Tron'!F460</f>
        <v>9.8000000000000007</v>
      </c>
      <c r="L1562" s="10">
        <v>16.8</v>
      </c>
      <c r="M1562" s="9">
        <f t="shared" si="105"/>
        <v>11.45</v>
      </c>
      <c r="N1562" s="382">
        <v>0</v>
      </c>
      <c r="O1562" s="789">
        <f t="shared" si="103"/>
        <v>1</v>
      </c>
      <c r="P1562" s="863">
        <f t="shared" si="106"/>
        <v>11.45</v>
      </c>
      <c r="Q1562" s="874"/>
      <c r="R1562" s="874"/>
      <c r="S1562" s="841"/>
      <c r="T1562" s="854"/>
    </row>
    <row r="1563" spans="1:20">
      <c r="D1563" s="49" t="s">
        <v>213</v>
      </c>
      <c r="E1563" s="348"/>
      <c r="F1563" s="74"/>
      <c r="G1563" s="12" t="s">
        <v>325</v>
      </c>
      <c r="H1563" s="240"/>
      <c r="I1563" s="192"/>
      <c r="J1563" s="303"/>
      <c r="K1563" s="303"/>
      <c r="L1563" s="10"/>
      <c r="M1563" s="9"/>
      <c r="N1563" s="382"/>
      <c r="O1563" s="789"/>
      <c r="P1563" s="863"/>
      <c r="Q1563" s="874"/>
      <c r="R1563" s="874"/>
      <c r="S1563" s="841"/>
      <c r="T1563" s="854"/>
    </row>
    <row r="1564" spans="1:20" s="344" customFormat="1" ht="25.5">
      <c r="A1564" s="915"/>
      <c r="B1564" s="919"/>
      <c r="C1564" s="913"/>
      <c r="D1564" s="49" t="s">
        <v>1642</v>
      </c>
      <c r="E1564" s="805">
        <f>'[3]Plan Tron'!B461</f>
        <v>5103</v>
      </c>
      <c r="F1564" s="805" t="str">
        <f>'[3]Plan Tron'!C461</f>
        <v>SINAPI (INSUMO)</v>
      </c>
      <c r="G1564" s="643" t="str">
        <f>'[3]Plan Tron'!D461</f>
        <v xml:space="preserve">CAIXA SIFONADA PVC, 100 X 100 X 50 MM, COM GRELHA REDONDA BRANCA </v>
      </c>
      <c r="H1564" s="805" t="str">
        <f>'[3]Plan Tron'!E461</f>
        <v xml:space="preserve">UN </v>
      </c>
      <c r="I1564" s="192">
        <v>1</v>
      </c>
      <c r="J1564" s="10">
        <v>10.55</v>
      </c>
      <c r="K1564" s="10">
        <f>'[3]Plan Tron'!F461</f>
        <v>10.84</v>
      </c>
      <c r="L1564" s="10">
        <v>16.8</v>
      </c>
      <c r="M1564" s="9">
        <f t="shared" si="105"/>
        <v>12.66</v>
      </c>
      <c r="N1564" s="382">
        <v>0</v>
      </c>
      <c r="O1564" s="789">
        <f t="shared" si="103"/>
        <v>1</v>
      </c>
      <c r="P1564" s="863">
        <f t="shared" si="106"/>
        <v>12.66</v>
      </c>
      <c r="Q1564" s="874"/>
      <c r="R1564" s="874"/>
      <c r="S1564" s="841"/>
      <c r="T1564" s="854"/>
    </row>
    <row r="1565" spans="1:20">
      <c r="D1565" s="49"/>
      <c r="E1565" s="348"/>
      <c r="F1565" s="74"/>
      <c r="G1565" s="12"/>
      <c r="H1565" s="240"/>
      <c r="I1565" s="192"/>
      <c r="J1565" s="303"/>
      <c r="K1565" s="303"/>
      <c r="L1565" s="10"/>
      <c r="M1565" s="9"/>
      <c r="N1565" s="382"/>
      <c r="O1565" s="789"/>
      <c r="P1565" s="863"/>
      <c r="Q1565" s="874"/>
      <c r="R1565" s="874"/>
      <c r="S1565" s="841"/>
      <c r="T1565" s="854"/>
    </row>
    <row r="1566" spans="1:20">
      <c r="D1566" s="49"/>
      <c r="E1566" s="348"/>
      <c r="F1566" s="74"/>
      <c r="G1566" s="12"/>
      <c r="H1566" s="240"/>
      <c r="I1566" s="192"/>
      <c r="J1566" s="303"/>
      <c r="K1566" s="303"/>
      <c r="L1566" s="10"/>
      <c r="M1566" s="9"/>
      <c r="N1566" s="382"/>
      <c r="O1566" s="789"/>
      <c r="P1566" s="863"/>
      <c r="Q1566" s="874"/>
      <c r="R1566" s="874"/>
      <c r="S1566" s="841"/>
      <c r="T1566" s="854"/>
    </row>
    <row r="1567" spans="1:20">
      <c r="D1567" s="49" t="s">
        <v>212</v>
      </c>
      <c r="E1567" s="348"/>
      <c r="F1567" s="74"/>
      <c r="G1567" s="12" t="s">
        <v>700</v>
      </c>
      <c r="H1567" s="240"/>
      <c r="I1567" s="192"/>
      <c r="J1567" s="303"/>
      <c r="K1567" s="303"/>
      <c r="L1567" s="10"/>
      <c r="M1567" s="9"/>
      <c r="N1567" s="382"/>
      <c r="O1567" s="789"/>
      <c r="P1567" s="863"/>
      <c r="Q1567" s="874"/>
      <c r="R1567" s="874"/>
      <c r="S1567" s="841"/>
      <c r="T1567" s="854"/>
    </row>
    <row r="1568" spans="1:20" s="344" customFormat="1" ht="25.5">
      <c r="A1568" s="915"/>
      <c r="B1568" s="919"/>
      <c r="C1568" s="913"/>
      <c r="D1568" s="49" t="s">
        <v>1805</v>
      </c>
      <c r="E1568" s="805">
        <f>'[3]Plan Tron'!B462</f>
        <v>20154</v>
      </c>
      <c r="F1568" s="805" t="str">
        <f>'[3]Plan Tron'!C462</f>
        <v>SINAPI (INSUMO)</v>
      </c>
      <c r="G1568" s="643" t="str">
        <f>'[3]Plan Tron'!D462</f>
        <v xml:space="preserve">JOELHO, PVC SERIE R, 90 GRAUS, DN 40 MM, PARA ESGOTO PREDIAL </v>
      </c>
      <c r="H1568" s="805" t="str">
        <f>'[3]Plan Tron'!E462</f>
        <v xml:space="preserve">UN </v>
      </c>
      <c r="I1568" s="192">
        <v>1</v>
      </c>
      <c r="J1568" s="10">
        <v>3.8</v>
      </c>
      <c r="K1568" s="10">
        <f>'[3]Plan Tron'!F462</f>
        <v>4.05</v>
      </c>
      <c r="L1568" s="10">
        <v>16.8</v>
      </c>
      <c r="M1568" s="9">
        <f t="shared" si="105"/>
        <v>4.7300000000000004</v>
      </c>
      <c r="N1568" s="382">
        <v>0</v>
      </c>
      <c r="O1568" s="789">
        <f t="shared" si="103"/>
        <v>1</v>
      </c>
      <c r="P1568" s="863">
        <f t="shared" si="106"/>
        <v>4.7300000000000004</v>
      </c>
      <c r="Q1568" s="874"/>
      <c r="R1568" s="874"/>
      <c r="S1568" s="841"/>
      <c r="T1568" s="854"/>
    </row>
    <row r="1569" spans="1:20" s="344" customFormat="1" ht="25.5">
      <c r="A1569" s="915"/>
      <c r="B1569" s="919"/>
      <c r="C1569" s="913"/>
      <c r="D1569" s="49" t="s">
        <v>1804</v>
      </c>
      <c r="E1569" s="805">
        <f>'[3]Plan Tron'!B463</f>
        <v>20157</v>
      </c>
      <c r="F1569" s="805" t="str">
        <f>'[3]Plan Tron'!C463</f>
        <v>SINAPI (INSUMO)</v>
      </c>
      <c r="G1569" s="643" t="str">
        <f>'[3]Plan Tron'!D463</f>
        <v xml:space="preserve">JOELHO, PVC SERIE R, 90 GRAUS, DN 100 MM, PARA ESGOTO PREDIAL </v>
      </c>
      <c r="H1569" s="805" t="str">
        <f>'[3]Plan Tron'!E463</f>
        <v xml:space="preserve">UN </v>
      </c>
      <c r="I1569" s="192">
        <v>1</v>
      </c>
      <c r="J1569" s="10">
        <v>21.3</v>
      </c>
      <c r="K1569" s="10">
        <f>'[3]Plan Tron'!F463</f>
        <v>24.88</v>
      </c>
      <c r="L1569" s="10">
        <v>16.8</v>
      </c>
      <c r="M1569" s="9">
        <f t="shared" si="105"/>
        <v>29.06</v>
      </c>
      <c r="N1569" s="382">
        <v>0</v>
      </c>
      <c r="O1569" s="789">
        <f t="shared" si="103"/>
        <v>1</v>
      </c>
      <c r="P1569" s="863">
        <f t="shared" si="106"/>
        <v>29.06</v>
      </c>
      <c r="Q1569" s="874"/>
      <c r="R1569" s="874"/>
      <c r="S1569" s="841"/>
      <c r="T1569" s="854"/>
    </row>
    <row r="1570" spans="1:20" s="344" customFormat="1" ht="25.5">
      <c r="A1570" s="915"/>
      <c r="B1570" s="919"/>
      <c r="C1570" s="913"/>
      <c r="D1570" s="49" t="s">
        <v>1803</v>
      </c>
      <c r="E1570" s="805">
        <f>'[3]Plan Tron'!B464</f>
        <v>20148</v>
      </c>
      <c r="F1570" s="805" t="str">
        <f>'[3]Plan Tron'!C464</f>
        <v>SINAPI (INSUMO)</v>
      </c>
      <c r="G1570" s="643" t="str">
        <f>'[3]Plan Tron'!D464</f>
        <v>JOELHO, PVC SERIE R, 45 GRAUS, DN 40 MM, PARA ESGOTO PREDIAL</v>
      </c>
      <c r="H1570" s="805" t="str">
        <f>'[3]Plan Tron'!E464</f>
        <v xml:space="preserve">UN </v>
      </c>
      <c r="I1570" s="192">
        <v>2</v>
      </c>
      <c r="J1570" s="10">
        <v>3.45</v>
      </c>
      <c r="K1570" s="10">
        <f>'[3]Plan Tron'!F464</f>
        <v>3.68</v>
      </c>
      <c r="L1570" s="10">
        <v>16.8</v>
      </c>
      <c r="M1570" s="9">
        <f t="shared" si="105"/>
        <v>4.3</v>
      </c>
      <c r="N1570" s="382">
        <v>0</v>
      </c>
      <c r="O1570" s="789">
        <f t="shared" si="103"/>
        <v>2</v>
      </c>
      <c r="P1570" s="863">
        <f t="shared" si="106"/>
        <v>8.6</v>
      </c>
      <c r="Q1570" s="874"/>
      <c r="R1570" s="874"/>
      <c r="S1570" s="841"/>
      <c r="T1570" s="854"/>
    </row>
    <row r="1571" spans="1:20">
      <c r="D1571" s="49"/>
      <c r="E1571" s="349"/>
      <c r="F1571" s="12"/>
      <c r="G1571" s="12"/>
      <c r="H1571" s="240"/>
      <c r="I1571" s="289"/>
      <c r="J1571" s="334"/>
      <c r="K1571" s="334"/>
      <c r="L1571" s="242"/>
      <c r="M1571" s="9"/>
      <c r="N1571" s="375"/>
      <c r="O1571" s="789"/>
      <c r="P1571" s="863"/>
      <c r="Q1571" s="874"/>
      <c r="R1571" s="874"/>
      <c r="S1571" s="841"/>
      <c r="T1571" s="854"/>
    </row>
    <row r="1572" spans="1:20">
      <c r="D1572" s="49"/>
      <c r="E1572" s="128"/>
      <c r="F1572" s="128"/>
      <c r="G1572" s="128"/>
      <c r="H1572" s="284"/>
      <c r="I1572" s="285"/>
      <c r="J1572" s="334"/>
      <c r="K1572" s="334"/>
      <c r="L1572" s="286"/>
      <c r="M1572" s="9"/>
      <c r="N1572" s="380"/>
      <c r="O1572" s="789"/>
      <c r="P1572" s="863"/>
      <c r="Q1572" s="874"/>
      <c r="R1572" s="874"/>
      <c r="S1572" s="841"/>
      <c r="T1572" s="854"/>
    </row>
    <row r="1573" spans="1:20" s="299" customFormat="1">
      <c r="A1573" s="918"/>
      <c r="B1573" s="922"/>
      <c r="C1573" s="924"/>
      <c r="D1573" s="298"/>
      <c r="E1573" s="297"/>
      <c r="F1573" s="298"/>
      <c r="G1573" s="297" t="s">
        <v>70</v>
      </c>
      <c r="H1573" s="298">
        <f>D1536</f>
        <v>32</v>
      </c>
      <c r="I1573" s="298"/>
      <c r="J1573" s="301"/>
      <c r="K1573" s="301"/>
      <c r="L1573" s="298"/>
      <c r="M1573" s="9"/>
      <c r="N1573" s="381"/>
      <c r="O1573" s="789"/>
      <c r="P1573" s="863">
        <f>SUM(P1544:P1570)</f>
        <v>406.68000000000012</v>
      </c>
      <c r="Q1573" s="874"/>
      <c r="R1573" s="874"/>
      <c r="S1573" s="841"/>
      <c r="T1573" s="854"/>
    </row>
    <row r="1574" spans="1:20">
      <c r="D1574" s="44"/>
      <c r="E1574" s="296"/>
      <c r="F1574" s="44"/>
      <c r="G1574" s="44"/>
      <c r="H1574" s="44"/>
      <c r="I1574" s="44"/>
      <c r="J1574" s="302"/>
      <c r="K1574" s="302"/>
      <c r="L1574" s="44"/>
      <c r="M1574" s="9"/>
      <c r="N1574" s="375"/>
      <c r="O1574" s="789"/>
      <c r="P1574" s="863"/>
      <c r="Q1574" s="874"/>
      <c r="R1574" s="874"/>
      <c r="S1574" s="841"/>
      <c r="T1574" s="854"/>
    </row>
    <row r="1575" spans="1:20" s="310" customFormat="1">
      <c r="A1575" s="915"/>
      <c r="B1575" s="919"/>
      <c r="C1575" s="913"/>
      <c r="D1575" s="108" t="s">
        <v>25</v>
      </c>
      <c r="E1575" s="813"/>
      <c r="F1575" s="109"/>
      <c r="G1575" s="108" t="s">
        <v>2006</v>
      </c>
      <c r="H1575" s="109"/>
      <c r="I1575" s="109"/>
      <c r="J1575" s="109"/>
      <c r="K1575" s="109"/>
      <c r="L1575" s="109"/>
      <c r="M1575" s="791"/>
      <c r="N1575" s="378"/>
      <c r="O1575" s="792"/>
      <c r="P1575" s="864"/>
      <c r="Q1575" s="872"/>
      <c r="R1575" s="872"/>
      <c r="S1575" s="842"/>
      <c r="T1575" s="852"/>
    </row>
    <row r="1576" spans="1:20">
      <c r="D1576" s="44"/>
      <c r="E1576" s="296"/>
      <c r="F1576" s="44"/>
      <c r="G1576" s="44"/>
      <c r="H1576" s="44"/>
      <c r="I1576" s="44"/>
      <c r="J1576" s="302"/>
      <c r="K1576" s="302"/>
      <c r="L1576" s="44"/>
      <c r="M1576" s="9"/>
      <c r="N1576" s="375"/>
      <c r="O1576" s="789"/>
      <c r="P1576" s="863"/>
      <c r="Q1576" s="874"/>
      <c r="R1576" s="874"/>
      <c r="S1576" s="841"/>
      <c r="T1576" s="854"/>
    </row>
    <row r="1577" spans="1:20" ht="25.5">
      <c r="D1577" s="45"/>
      <c r="E1577" s="57"/>
      <c r="F1577" s="50"/>
      <c r="G1577" s="46" t="s">
        <v>1826</v>
      </c>
      <c r="H1577" s="37"/>
      <c r="I1577" s="76"/>
      <c r="J1577" s="303"/>
      <c r="K1577" s="303"/>
      <c r="L1577" s="10"/>
      <c r="M1577" s="9"/>
      <c r="N1577" s="375"/>
      <c r="O1577" s="789"/>
      <c r="P1577" s="863"/>
      <c r="Q1577" s="874"/>
      <c r="R1577" s="874"/>
      <c r="S1577" s="841"/>
      <c r="T1577" s="854"/>
    </row>
    <row r="1578" spans="1:20">
      <c r="D1578" s="45"/>
      <c r="E1578" s="57"/>
      <c r="F1578" s="50"/>
      <c r="G1578" s="46"/>
      <c r="H1578" s="37"/>
      <c r="I1578" s="76"/>
      <c r="J1578" s="303"/>
      <c r="K1578" s="303"/>
      <c r="L1578" s="10"/>
      <c r="M1578" s="9"/>
      <c r="N1578" s="375"/>
      <c r="O1578" s="789"/>
      <c r="P1578" s="863"/>
      <c r="Q1578" s="874"/>
      <c r="R1578" s="874"/>
      <c r="S1578" s="841"/>
      <c r="T1578" s="854"/>
    </row>
    <row r="1579" spans="1:20">
      <c r="D1579" s="45">
        <v>1</v>
      </c>
      <c r="E1579" s="57"/>
      <c r="F1579" s="50"/>
      <c r="G1579" s="46" t="s">
        <v>1825</v>
      </c>
      <c r="H1579" s="37"/>
      <c r="I1579" s="76"/>
      <c r="J1579" s="10"/>
      <c r="K1579" s="10"/>
      <c r="L1579" s="10"/>
      <c r="M1579" s="9"/>
      <c r="N1579" s="926"/>
      <c r="O1579" s="900"/>
      <c r="P1579" s="901"/>
      <c r="Q1579" s="874"/>
      <c r="R1579" s="874"/>
      <c r="S1579" s="841"/>
      <c r="T1579" s="854"/>
    </row>
    <row r="1580" spans="1:20">
      <c r="D1580" s="49" t="s">
        <v>20</v>
      </c>
      <c r="E1580" s="24"/>
      <c r="F1580" s="60"/>
      <c r="G1580" s="12" t="s">
        <v>885</v>
      </c>
      <c r="H1580" s="37"/>
      <c r="I1580" s="76"/>
      <c r="J1580" s="10"/>
      <c r="K1580" s="10"/>
      <c r="L1580" s="10"/>
      <c r="M1580" s="9"/>
      <c r="N1580" s="926"/>
      <c r="O1580" s="900"/>
      <c r="P1580" s="901"/>
      <c r="Q1580" s="874"/>
      <c r="R1580" s="874"/>
      <c r="S1580" s="841"/>
      <c r="T1580" s="854"/>
    </row>
    <row r="1581" spans="1:20" s="610" customFormat="1" ht="25.5">
      <c r="A1581" s="915"/>
      <c r="B1581" s="919"/>
      <c r="C1581" s="913" t="s">
        <v>2455</v>
      </c>
      <c r="D1581" s="49" t="s">
        <v>153</v>
      </c>
      <c r="E1581" s="24" t="s">
        <v>1823</v>
      </c>
      <c r="F1581" s="60"/>
      <c r="G1581" s="134" t="s">
        <v>1824</v>
      </c>
      <c r="H1581" s="18" t="s">
        <v>183</v>
      </c>
      <c r="I1581" s="51">
        <v>1</v>
      </c>
      <c r="J1581" s="10">
        <v>1725</v>
      </c>
      <c r="K1581" s="9">
        <f>J1581*$S$3</f>
        <v>2259.75</v>
      </c>
      <c r="L1581" s="10">
        <v>16.8</v>
      </c>
      <c r="M1581" s="9">
        <f t="shared" si="105"/>
        <v>2639.39</v>
      </c>
      <c r="N1581" s="948">
        <v>0</v>
      </c>
      <c r="O1581" s="900">
        <f t="shared" ref="O1581:O1634" si="107">I1581-N1581</f>
        <v>1</v>
      </c>
      <c r="P1581" s="901">
        <f t="shared" si="106"/>
        <v>2639.39</v>
      </c>
      <c r="Q1581" s="873"/>
      <c r="R1581" s="873"/>
      <c r="S1581" s="840"/>
      <c r="T1581" s="853"/>
    </row>
    <row r="1582" spans="1:20">
      <c r="D1582" s="49" t="s">
        <v>19</v>
      </c>
      <c r="E1582" s="199"/>
      <c r="F1582" s="194"/>
      <c r="G1582" s="12" t="s">
        <v>168</v>
      </c>
      <c r="H1582" s="7"/>
      <c r="I1582" s="76"/>
      <c r="J1582" s="10"/>
      <c r="K1582" s="10"/>
      <c r="L1582" s="10"/>
      <c r="M1582" s="9"/>
      <c r="N1582" s="948"/>
      <c r="O1582" s="900"/>
      <c r="P1582" s="901"/>
      <c r="Q1582" s="874"/>
      <c r="R1582" s="874"/>
      <c r="S1582" s="841"/>
      <c r="T1582" s="854"/>
    </row>
    <row r="1583" spans="1:20" s="344" customFormat="1" ht="25.5">
      <c r="A1583" s="915"/>
      <c r="B1583" s="919"/>
      <c r="C1583" s="913"/>
      <c r="D1583" s="49" t="s">
        <v>147</v>
      </c>
      <c r="E1583" s="805">
        <f>'[3]Plan Tron'!B465</f>
        <v>2637</v>
      </c>
      <c r="F1583" s="805" t="str">
        <f>'[3]Plan Tron'!C465</f>
        <v>SINAPI (INSUMO)</v>
      </c>
      <c r="G1583" s="643" t="str">
        <f>'[3]Plan Tron'!D465</f>
        <v xml:space="preserve">LUVA PARA ELETRODUTO, EM ACO GALVANIZADO ELETROLITICO, DIAMETRO DE 20 MM (3/4") </v>
      </c>
      <c r="H1583" s="805" t="str">
        <f>'[3]Plan Tron'!E465</f>
        <v xml:space="preserve">UN </v>
      </c>
      <c r="I1583" s="51">
        <v>18</v>
      </c>
      <c r="J1583" s="10">
        <v>0.89</v>
      </c>
      <c r="K1583" s="10">
        <f>'[3]Plan Tron'!F465</f>
        <v>0.94</v>
      </c>
      <c r="L1583" s="10">
        <v>16.8</v>
      </c>
      <c r="M1583" s="9">
        <f t="shared" si="105"/>
        <v>1.1000000000000001</v>
      </c>
      <c r="N1583" s="948">
        <v>0</v>
      </c>
      <c r="O1583" s="900">
        <f t="shared" si="107"/>
        <v>18</v>
      </c>
      <c r="P1583" s="901">
        <f t="shared" si="106"/>
        <v>19.8</v>
      </c>
      <c r="Q1583" s="874"/>
      <c r="R1583" s="874"/>
      <c r="S1583" s="841"/>
      <c r="T1583" s="854"/>
    </row>
    <row r="1584" spans="1:20" s="344" customFormat="1" ht="25.5">
      <c r="A1584" s="915"/>
      <c r="B1584" s="919"/>
      <c r="C1584" s="913"/>
      <c r="D1584" s="49" t="s">
        <v>213</v>
      </c>
      <c r="E1584" s="805">
        <f>'[3]Plan Tron'!B466</f>
        <v>2638</v>
      </c>
      <c r="F1584" s="805" t="str">
        <f>'[3]Plan Tron'!C466</f>
        <v>SINAPI (INSUMO)</v>
      </c>
      <c r="G1584" s="643" t="str">
        <f>'[3]Plan Tron'!D466</f>
        <v xml:space="preserve">LUVA PARA ELETRODUTO, EM ACO GALVANIZADO ELETROLITICO, DIAMETRO DE 25 MM (1") </v>
      </c>
      <c r="H1584" s="805" t="str">
        <f>'[3]Plan Tron'!E466</f>
        <v xml:space="preserve">UN </v>
      </c>
      <c r="I1584" s="51">
        <v>2</v>
      </c>
      <c r="J1584" s="10">
        <v>1.03</v>
      </c>
      <c r="K1584" s="10">
        <f>'[3]Plan Tron'!F466</f>
        <v>1.1000000000000001</v>
      </c>
      <c r="L1584" s="10">
        <v>16.8</v>
      </c>
      <c r="M1584" s="9">
        <f t="shared" si="105"/>
        <v>1.28</v>
      </c>
      <c r="N1584" s="948">
        <v>0</v>
      </c>
      <c r="O1584" s="900">
        <f t="shared" si="107"/>
        <v>2</v>
      </c>
      <c r="P1584" s="901">
        <f t="shared" si="106"/>
        <v>2.56</v>
      </c>
      <c r="Q1584" s="874"/>
      <c r="R1584" s="874"/>
      <c r="S1584" s="841"/>
      <c r="T1584" s="854"/>
    </row>
    <row r="1585" spans="1:20" s="800" customFormat="1" ht="25.5">
      <c r="A1585" s="915"/>
      <c r="B1585" s="919"/>
      <c r="C1585" s="913"/>
      <c r="D1585" s="49" t="s">
        <v>212</v>
      </c>
      <c r="E1585" s="57">
        <v>4360</v>
      </c>
      <c r="F1585" s="805" t="s">
        <v>2017</v>
      </c>
      <c r="G1585" s="12" t="s">
        <v>1562</v>
      </c>
      <c r="H1585" s="18" t="s">
        <v>158</v>
      </c>
      <c r="I1585" s="51">
        <v>36</v>
      </c>
      <c r="J1585" s="10">
        <v>1.1399999999999999</v>
      </c>
      <c r="K1585" s="9">
        <f>J1585*$S$3</f>
        <v>1.4933999999999998</v>
      </c>
      <c r="L1585" s="10">
        <v>16.8</v>
      </c>
      <c r="M1585" s="9">
        <f t="shared" si="105"/>
        <v>1.74</v>
      </c>
      <c r="N1585" s="948">
        <v>0</v>
      </c>
      <c r="O1585" s="900">
        <f t="shared" si="107"/>
        <v>36</v>
      </c>
      <c r="P1585" s="901">
        <f t="shared" si="106"/>
        <v>62.64</v>
      </c>
      <c r="Q1585" s="875"/>
      <c r="R1585" s="875"/>
      <c r="S1585" s="844"/>
      <c r="T1585" s="857"/>
    </row>
    <row r="1586" spans="1:20" s="800" customFormat="1" ht="25.5">
      <c r="A1586" s="915"/>
      <c r="B1586" s="919"/>
      <c r="C1586" s="913"/>
      <c r="D1586" s="49" t="s">
        <v>211</v>
      </c>
      <c r="E1586" s="57">
        <v>4362</v>
      </c>
      <c r="F1586" s="805" t="s">
        <v>2017</v>
      </c>
      <c r="G1586" s="12" t="s">
        <v>871</v>
      </c>
      <c r="H1586" s="18" t="s">
        <v>158</v>
      </c>
      <c r="I1586" s="51">
        <v>4</v>
      </c>
      <c r="J1586" s="10">
        <v>1.31</v>
      </c>
      <c r="K1586" s="9">
        <f>J1586*$S$3</f>
        <v>1.7161000000000002</v>
      </c>
      <c r="L1586" s="10">
        <v>16.8</v>
      </c>
      <c r="M1586" s="9">
        <f t="shared" si="105"/>
        <v>2</v>
      </c>
      <c r="N1586" s="948">
        <v>0</v>
      </c>
      <c r="O1586" s="900">
        <f t="shared" si="107"/>
        <v>4</v>
      </c>
      <c r="P1586" s="901">
        <f t="shared" si="106"/>
        <v>8</v>
      </c>
      <c r="Q1586" s="875"/>
      <c r="R1586" s="875"/>
      <c r="S1586" s="844"/>
      <c r="T1586" s="857"/>
    </row>
    <row r="1587" spans="1:20" s="800" customFormat="1" ht="25.5">
      <c r="A1587" s="915"/>
      <c r="B1587" s="919"/>
      <c r="C1587" s="913"/>
      <c r="D1587" s="49" t="s">
        <v>208</v>
      </c>
      <c r="E1587" s="57">
        <v>851</v>
      </c>
      <c r="F1587" s="805" t="s">
        <v>2017</v>
      </c>
      <c r="G1587" s="12" t="s">
        <v>1125</v>
      </c>
      <c r="H1587" s="7" t="s">
        <v>158</v>
      </c>
      <c r="I1587" s="21">
        <v>1</v>
      </c>
      <c r="J1587" s="10">
        <v>0.47</v>
      </c>
      <c r="K1587" s="9">
        <f>J1587*$S$3</f>
        <v>0.61570000000000003</v>
      </c>
      <c r="L1587" s="10">
        <v>16.8</v>
      </c>
      <c r="M1587" s="9">
        <f t="shared" si="105"/>
        <v>0.72</v>
      </c>
      <c r="N1587" s="948">
        <v>0</v>
      </c>
      <c r="O1587" s="900">
        <f t="shared" si="107"/>
        <v>1</v>
      </c>
      <c r="P1587" s="901">
        <f t="shared" si="106"/>
        <v>0.72</v>
      </c>
      <c r="Q1587" s="875"/>
      <c r="R1587" s="875"/>
      <c r="S1587" s="844"/>
      <c r="T1587" s="857"/>
    </row>
    <row r="1588" spans="1:20" s="800" customFormat="1" ht="25.5">
      <c r="A1588" s="915"/>
      <c r="B1588" s="919"/>
      <c r="C1588" s="913"/>
      <c r="D1588" s="49" t="s">
        <v>205</v>
      </c>
      <c r="E1588" s="57">
        <v>855</v>
      </c>
      <c r="F1588" s="805" t="s">
        <v>2017</v>
      </c>
      <c r="G1588" s="12" t="s">
        <v>1822</v>
      </c>
      <c r="H1588" s="7" t="s">
        <v>158</v>
      </c>
      <c r="I1588" s="21">
        <v>1</v>
      </c>
      <c r="J1588" s="10">
        <v>0.69</v>
      </c>
      <c r="K1588" s="9">
        <f>J1588*$S$3</f>
        <v>0.90389999999999993</v>
      </c>
      <c r="L1588" s="10">
        <v>16.8</v>
      </c>
      <c r="M1588" s="9">
        <f t="shared" si="105"/>
        <v>1.06</v>
      </c>
      <c r="N1588" s="948">
        <v>0</v>
      </c>
      <c r="O1588" s="900">
        <f t="shared" si="107"/>
        <v>1</v>
      </c>
      <c r="P1588" s="901">
        <f t="shared" si="106"/>
        <v>1.06</v>
      </c>
      <c r="Q1588" s="875"/>
      <c r="R1588" s="875"/>
      <c r="S1588" s="844"/>
      <c r="T1588" s="857"/>
    </row>
    <row r="1589" spans="1:20" s="344" customFormat="1" ht="25.5">
      <c r="A1589" s="915"/>
      <c r="B1589" s="919"/>
      <c r="C1589" s="913"/>
      <c r="D1589" s="49" t="s">
        <v>204</v>
      </c>
      <c r="E1589" s="805">
        <f>'[3]Plan Tron'!B467</f>
        <v>2593</v>
      </c>
      <c r="F1589" s="805" t="str">
        <f>'[3]Plan Tron'!C467</f>
        <v>SINAPI (INSUMO)</v>
      </c>
      <c r="G1589" s="643" t="str">
        <f>'[3]Plan Tron'!D467</f>
        <v>CONDULETE DE ALUMINIO TIPO LR, PARA ELETRODUTO ROSCAVEL DE 3/4", COM TAMPA CEGA</v>
      </c>
      <c r="H1589" s="805" t="str">
        <f>'[3]Plan Tron'!E467</f>
        <v xml:space="preserve">UN </v>
      </c>
      <c r="I1589" s="21">
        <v>8</v>
      </c>
      <c r="J1589" s="10">
        <v>4.93</v>
      </c>
      <c r="K1589" s="10">
        <f>'[3]Plan Tron'!F467</f>
        <v>6.01</v>
      </c>
      <c r="L1589" s="10">
        <v>16.8</v>
      </c>
      <c r="M1589" s="9">
        <f t="shared" si="105"/>
        <v>7.02</v>
      </c>
      <c r="N1589" s="948">
        <v>0</v>
      </c>
      <c r="O1589" s="900">
        <f t="shared" si="107"/>
        <v>8</v>
      </c>
      <c r="P1589" s="901">
        <f t="shared" si="106"/>
        <v>56.16</v>
      </c>
      <c r="Q1589" s="874"/>
      <c r="R1589" s="874"/>
      <c r="S1589" s="841"/>
      <c r="T1589" s="854"/>
    </row>
    <row r="1590" spans="1:20" s="610" customFormat="1">
      <c r="A1590" s="915"/>
      <c r="B1590" s="919"/>
      <c r="C1590" s="913" t="s">
        <v>2455</v>
      </c>
      <c r="D1590" s="49" t="s">
        <v>203</v>
      </c>
      <c r="E1590" s="57" t="s">
        <v>1121</v>
      </c>
      <c r="F1590" s="50"/>
      <c r="G1590" s="114" t="s">
        <v>1122</v>
      </c>
      <c r="H1590" s="7" t="s">
        <v>158</v>
      </c>
      <c r="I1590" s="21">
        <v>14</v>
      </c>
      <c r="J1590" s="10">
        <v>22.53</v>
      </c>
      <c r="K1590" s="9">
        <f>J1590*$S$3</f>
        <v>29.514300000000002</v>
      </c>
      <c r="L1590" s="10">
        <v>16.8</v>
      </c>
      <c r="M1590" s="9">
        <f t="shared" si="105"/>
        <v>34.47</v>
      </c>
      <c r="N1590" s="948">
        <v>0</v>
      </c>
      <c r="O1590" s="900">
        <f t="shared" si="107"/>
        <v>14</v>
      </c>
      <c r="P1590" s="901">
        <f t="shared" si="106"/>
        <v>482.58</v>
      </c>
      <c r="Q1590" s="873"/>
      <c r="R1590" s="873"/>
      <c r="S1590" s="840"/>
      <c r="T1590" s="853"/>
    </row>
    <row r="1591" spans="1:20" s="610" customFormat="1">
      <c r="A1591" s="915"/>
      <c r="B1591" s="919"/>
      <c r="C1591" s="913" t="s">
        <v>2455</v>
      </c>
      <c r="D1591" s="49" t="s">
        <v>297</v>
      </c>
      <c r="E1591" s="57" t="s">
        <v>1116</v>
      </c>
      <c r="F1591" s="50"/>
      <c r="G1591" s="114" t="s">
        <v>1117</v>
      </c>
      <c r="H1591" s="7" t="s">
        <v>158</v>
      </c>
      <c r="I1591" s="21">
        <v>1</v>
      </c>
      <c r="J1591" s="10">
        <v>22.53</v>
      </c>
      <c r="K1591" s="9">
        <f>J1591*$S$3</f>
        <v>29.514300000000002</v>
      </c>
      <c r="L1591" s="10">
        <v>16.8</v>
      </c>
      <c r="M1591" s="9">
        <f t="shared" si="105"/>
        <v>34.47</v>
      </c>
      <c r="N1591" s="948">
        <v>0</v>
      </c>
      <c r="O1591" s="900">
        <f t="shared" si="107"/>
        <v>1</v>
      </c>
      <c r="P1591" s="901">
        <f t="shared" si="106"/>
        <v>34.47</v>
      </c>
      <c r="Q1591" s="873"/>
      <c r="R1591" s="873"/>
      <c r="S1591" s="840"/>
      <c r="T1591" s="853"/>
    </row>
    <row r="1592" spans="1:20" s="610" customFormat="1">
      <c r="A1592" s="915"/>
      <c r="B1592" s="919"/>
      <c r="C1592" s="913" t="s">
        <v>2455</v>
      </c>
      <c r="D1592" s="49" t="s">
        <v>296</v>
      </c>
      <c r="E1592" s="57" t="s">
        <v>1113</v>
      </c>
      <c r="F1592" s="50"/>
      <c r="G1592" s="114" t="s">
        <v>1114</v>
      </c>
      <c r="H1592" s="7" t="s">
        <v>158</v>
      </c>
      <c r="I1592" s="21">
        <v>3</v>
      </c>
      <c r="J1592" s="10">
        <v>32.46</v>
      </c>
      <c r="K1592" s="9">
        <f>J1592*$S$3</f>
        <v>42.522600000000004</v>
      </c>
      <c r="L1592" s="10">
        <v>16.8</v>
      </c>
      <c r="M1592" s="9">
        <f t="shared" si="105"/>
        <v>49.67</v>
      </c>
      <c r="N1592" s="948">
        <v>0</v>
      </c>
      <c r="O1592" s="900">
        <f t="shared" si="107"/>
        <v>3</v>
      </c>
      <c r="P1592" s="901">
        <f t="shared" si="106"/>
        <v>149.01</v>
      </c>
      <c r="Q1592" s="873"/>
      <c r="R1592" s="873"/>
      <c r="S1592" s="840"/>
      <c r="T1592" s="853"/>
    </row>
    <row r="1593" spans="1:20" s="344" customFormat="1" ht="25.5">
      <c r="A1593" s="915"/>
      <c r="B1593" s="919"/>
      <c r="C1593" s="913"/>
      <c r="D1593" s="49" t="s">
        <v>293</v>
      </c>
      <c r="E1593" s="805">
        <f>'[3]Plan Tron'!B468</f>
        <v>2570</v>
      </c>
      <c r="F1593" s="805" t="str">
        <f>'[3]Plan Tron'!C468</f>
        <v>SINAPI (INSUMO)</v>
      </c>
      <c r="G1593" s="643" t="str">
        <f>'[3]Plan Tron'!D468</f>
        <v xml:space="preserve">CONDULETE DE ALUMINIO TIPO LR, PARA ELETRODUTO ROSCAVEL DE 1", COM TAMPA CEGA </v>
      </c>
      <c r="H1593" s="805" t="str">
        <f>'[3]Plan Tron'!E468</f>
        <v xml:space="preserve">UN </v>
      </c>
      <c r="I1593" s="21">
        <v>1</v>
      </c>
      <c r="J1593" s="10">
        <v>7.64</v>
      </c>
      <c r="K1593" s="10">
        <f>'[3]Plan Tron'!F468</f>
        <v>9.4600000000000009</v>
      </c>
      <c r="L1593" s="10">
        <v>16.8</v>
      </c>
      <c r="M1593" s="9">
        <f t="shared" si="105"/>
        <v>11.05</v>
      </c>
      <c r="N1593" s="948">
        <v>0</v>
      </c>
      <c r="O1593" s="900">
        <f t="shared" si="107"/>
        <v>1</v>
      </c>
      <c r="P1593" s="901">
        <f t="shared" si="106"/>
        <v>11.05</v>
      </c>
      <c r="Q1593" s="874"/>
      <c r="R1593" s="874"/>
      <c r="S1593" s="841"/>
      <c r="T1593" s="854"/>
    </row>
    <row r="1594" spans="1:20" s="800" customFormat="1" ht="25.5">
      <c r="A1594" s="915"/>
      <c r="B1594" s="919"/>
      <c r="C1594" s="913"/>
      <c r="D1594" s="49" t="s">
        <v>290</v>
      </c>
      <c r="E1594" s="57">
        <v>846</v>
      </c>
      <c r="F1594" s="805" t="s">
        <v>2017</v>
      </c>
      <c r="G1594" s="114" t="s">
        <v>1821</v>
      </c>
      <c r="H1594" s="7" t="s">
        <v>158</v>
      </c>
      <c r="I1594" s="21">
        <v>3</v>
      </c>
      <c r="J1594" s="10">
        <v>1.69</v>
      </c>
      <c r="K1594" s="9">
        <f>J1594*$S$3</f>
        <v>2.2139000000000002</v>
      </c>
      <c r="L1594" s="10">
        <v>16.8</v>
      </c>
      <c r="M1594" s="9">
        <f t="shared" si="105"/>
        <v>2.59</v>
      </c>
      <c r="N1594" s="948">
        <v>0</v>
      </c>
      <c r="O1594" s="900">
        <f t="shared" si="107"/>
        <v>3</v>
      </c>
      <c r="P1594" s="901">
        <f t="shared" si="106"/>
        <v>7.77</v>
      </c>
      <c r="Q1594" s="875"/>
      <c r="R1594" s="875"/>
      <c r="S1594" s="844"/>
      <c r="T1594" s="857"/>
    </row>
    <row r="1595" spans="1:20">
      <c r="D1595" s="49" t="s">
        <v>18</v>
      </c>
      <c r="E1595" s="57"/>
      <c r="F1595" s="50"/>
      <c r="G1595" s="12" t="s">
        <v>440</v>
      </c>
      <c r="H1595" s="7"/>
      <c r="I1595" s="21"/>
      <c r="J1595" s="10"/>
      <c r="K1595" s="10"/>
      <c r="L1595" s="10"/>
      <c r="M1595" s="9"/>
      <c r="N1595" s="948"/>
      <c r="O1595" s="900"/>
      <c r="P1595" s="901"/>
      <c r="Q1595" s="874"/>
      <c r="R1595" s="874"/>
      <c r="S1595" s="841"/>
      <c r="T1595" s="854"/>
    </row>
    <row r="1596" spans="1:20" s="610" customFormat="1" ht="38.25">
      <c r="A1596" s="915"/>
      <c r="B1596" s="919"/>
      <c r="C1596" s="913" t="s">
        <v>2455</v>
      </c>
      <c r="D1596" s="49" t="s">
        <v>201</v>
      </c>
      <c r="E1596" s="57" t="s">
        <v>1107</v>
      </c>
      <c r="F1596" s="50"/>
      <c r="G1596" s="12" t="s">
        <v>1108</v>
      </c>
      <c r="H1596" s="606" t="s">
        <v>183</v>
      </c>
      <c r="I1596" s="21">
        <v>3</v>
      </c>
      <c r="J1596" s="10">
        <v>350</v>
      </c>
      <c r="K1596" s="9">
        <f>J1596*$S$3</f>
        <v>458.5</v>
      </c>
      <c r="L1596" s="10">
        <v>16.8</v>
      </c>
      <c r="M1596" s="9">
        <f t="shared" si="105"/>
        <v>535.53</v>
      </c>
      <c r="N1596" s="948">
        <v>0</v>
      </c>
      <c r="O1596" s="900">
        <f t="shared" si="107"/>
        <v>3</v>
      </c>
      <c r="P1596" s="901">
        <f t="shared" si="106"/>
        <v>1606.59</v>
      </c>
      <c r="Q1596" s="873"/>
      <c r="R1596" s="873"/>
      <c r="S1596" s="840"/>
      <c r="T1596" s="853"/>
    </row>
    <row r="1597" spans="1:20" s="344" customFormat="1" ht="25.5">
      <c r="A1597" s="915"/>
      <c r="B1597" s="919"/>
      <c r="C1597" s="913"/>
      <c r="D1597" s="49" t="s">
        <v>198</v>
      </c>
      <c r="E1597" s="805">
        <f>'[3]Plan Tron'!B469</f>
        <v>2510</v>
      </c>
      <c r="F1597" s="805" t="str">
        <f>'[3]Plan Tron'!C469</f>
        <v>SINAPI (INSUMO)</v>
      </c>
      <c r="G1597" s="643" t="str">
        <f>'[3]Plan Tron'!D469</f>
        <v xml:space="preserve">RELE FOTOELETRICO INTERNO E EXTERNO BIVOLT 1000 W, DE CONECTOR, SEM BASE </v>
      </c>
      <c r="H1597" s="805" t="str">
        <f>'[3]Plan Tron'!E469</f>
        <v xml:space="preserve">UN </v>
      </c>
      <c r="I1597" s="21">
        <v>1</v>
      </c>
      <c r="J1597" s="10">
        <v>21.44</v>
      </c>
      <c r="K1597" s="10">
        <f>'[3]Plan Tron'!F469</f>
        <v>14.86</v>
      </c>
      <c r="L1597" s="10">
        <v>16.8</v>
      </c>
      <c r="M1597" s="9">
        <f t="shared" si="105"/>
        <v>17.36</v>
      </c>
      <c r="N1597" s="948">
        <v>0</v>
      </c>
      <c r="O1597" s="900">
        <f t="shared" si="107"/>
        <v>1</v>
      </c>
      <c r="P1597" s="901">
        <f t="shared" si="106"/>
        <v>17.36</v>
      </c>
      <c r="Q1597" s="874"/>
      <c r="R1597" s="874"/>
      <c r="S1597" s="841"/>
      <c r="T1597" s="854"/>
    </row>
    <row r="1598" spans="1:20">
      <c r="D1598" s="239" t="s">
        <v>17</v>
      </c>
      <c r="E1598" s="57"/>
      <c r="F1598" s="50"/>
      <c r="G1598" s="114" t="s">
        <v>1820</v>
      </c>
      <c r="H1598" s="7"/>
      <c r="I1598" s="21"/>
      <c r="J1598" s="10"/>
      <c r="K1598" s="10"/>
      <c r="L1598" s="10"/>
      <c r="M1598" s="9"/>
      <c r="N1598" s="948"/>
      <c r="O1598" s="900"/>
      <c r="P1598" s="901"/>
      <c r="Q1598" s="874"/>
      <c r="R1598" s="874"/>
      <c r="S1598" s="841"/>
      <c r="T1598" s="854"/>
    </row>
    <row r="1599" spans="1:20" s="610" customFormat="1">
      <c r="A1599" s="915"/>
      <c r="B1599" s="919"/>
      <c r="C1599" s="913" t="s">
        <v>2455</v>
      </c>
      <c r="D1599" s="606" t="s">
        <v>195</v>
      </c>
      <c r="E1599" s="57" t="s">
        <v>1100</v>
      </c>
      <c r="F1599" s="50"/>
      <c r="G1599" s="114" t="s">
        <v>1101</v>
      </c>
      <c r="H1599" s="7" t="s">
        <v>1078</v>
      </c>
      <c r="I1599" s="21">
        <v>5</v>
      </c>
      <c r="J1599" s="10">
        <v>38.85</v>
      </c>
      <c r="K1599" s="9">
        <f t="shared" ref="K1599:K1605" si="108">J1599*$S$3</f>
        <v>50.893500000000003</v>
      </c>
      <c r="L1599" s="10">
        <v>16.8</v>
      </c>
      <c r="M1599" s="9">
        <f t="shared" si="105"/>
        <v>59.44</v>
      </c>
      <c r="N1599" s="948">
        <v>0</v>
      </c>
      <c r="O1599" s="900">
        <f t="shared" si="107"/>
        <v>5</v>
      </c>
      <c r="P1599" s="901">
        <f t="shared" si="106"/>
        <v>297.2</v>
      </c>
      <c r="Q1599" s="873"/>
      <c r="R1599" s="873"/>
      <c r="S1599" s="840"/>
      <c r="T1599" s="853"/>
    </row>
    <row r="1600" spans="1:20" s="610" customFormat="1">
      <c r="A1600" s="915"/>
      <c r="B1600" s="919"/>
      <c r="C1600" s="913" t="s">
        <v>2455</v>
      </c>
      <c r="D1600" s="606" t="s">
        <v>192</v>
      </c>
      <c r="E1600" s="24" t="s">
        <v>1098</v>
      </c>
      <c r="F1600" s="60"/>
      <c r="G1600" s="350" t="s">
        <v>1819</v>
      </c>
      <c r="H1600" s="606" t="s">
        <v>246</v>
      </c>
      <c r="I1600" s="21">
        <v>7</v>
      </c>
      <c r="J1600" s="10">
        <v>2.2999999999999998</v>
      </c>
      <c r="K1600" s="9">
        <f t="shared" si="108"/>
        <v>3.0129999999999999</v>
      </c>
      <c r="L1600" s="10">
        <v>16.8</v>
      </c>
      <c r="M1600" s="9">
        <f t="shared" si="105"/>
        <v>3.52</v>
      </c>
      <c r="N1600" s="948">
        <v>0</v>
      </c>
      <c r="O1600" s="900">
        <f t="shared" si="107"/>
        <v>7</v>
      </c>
      <c r="P1600" s="901">
        <f t="shared" si="106"/>
        <v>24.64</v>
      </c>
      <c r="Q1600" s="873"/>
      <c r="R1600" s="873"/>
      <c r="S1600" s="840"/>
      <c r="T1600" s="853"/>
    </row>
    <row r="1601" spans="1:20" s="610" customFormat="1">
      <c r="A1601" s="915"/>
      <c r="B1601" s="919"/>
      <c r="C1601" s="913" t="s">
        <v>2455</v>
      </c>
      <c r="D1601" s="606" t="s">
        <v>280</v>
      </c>
      <c r="E1601" s="826" t="s">
        <v>1096</v>
      </c>
      <c r="F1601" s="23"/>
      <c r="G1601" s="350" t="s">
        <v>1097</v>
      </c>
      <c r="H1601" s="257" t="s">
        <v>246</v>
      </c>
      <c r="I1601" s="21">
        <v>5</v>
      </c>
      <c r="J1601" s="10">
        <v>0.9</v>
      </c>
      <c r="K1601" s="9">
        <f t="shared" si="108"/>
        <v>1.179</v>
      </c>
      <c r="L1601" s="10">
        <v>16.8</v>
      </c>
      <c r="M1601" s="9">
        <f t="shared" si="105"/>
        <v>1.38</v>
      </c>
      <c r="N1601" s="948">
        <v>0</v>
      </c>
      <c r="O1601" s="900">
        <f t="shared" si="107"/>
        <v>5</v>
      </c>
      <c r="P1601" s="901">
        <f t="shared" si="106"/>
        <v>6.9</v>
      </c>
      <c r="Q1601" s="873"/>
      <c r="R1601" s="873"/>
      <c r="S1601" s="840"/>
      <c r="T1601" s="853"/>
    </row>
    <row r="1602" spans="1:20" s="610" customFormat="1">
      <c r="A1602" s="915"/>
      <c r="B1602" s="919"/>
      <c r="C1602" s="913" t="s">
        <v>2455</v>
      </c>
      <c r="D1602" s="606" t="s">
        <v>277</v>
      </c>
      <c r="E1602" s="24" t="s">
        <v>1094</v>
      </c>
      <c r="F1602" s="60"/>
      <c r="G1602" s="350" t="s">
        <v>1095</v>
      </c>
      <c r="H1602" s="257" t="s">
        <v>246</v>
      </c>
      <c r="I1602" s="21">
        <v>5</v>
      </c>
      <c r="J1602" s="10">
        <v>1.75</v>
      </c>
      <c r="K1602" s="9">
        <f t="shared" si="108"/>
        <v>2.2925</v>
      </c>
      <c r="L1602" s="10">
        <v>16.8</v>
      </c>
      <c r="M1602" s="9">
        <f t="shared" si="105"/>
        <v>2.68</v>
      </c>
      <c r="N1602" s="948">
        <v>0</v>
      </c>
      <c r="O1602" s="900">
        <f t="shared" si="107"/>
        <v>5</v>
      </c>
      <c r="P1602" s="901">
        <f t="shared" si="106"/>
        <v>13.4</v>
      </c>
      <c r="Q1602" s="873"/>
      <c r="R1602" s="873"/>
      <c r="S1602" s="840"/>
      <c r="T1602" s="853"/>
    </row>
    <row r="1603" spans="1:20" s="610" customFormat="1">
      <c r="A1603" s="915"/>
      <c r="B1603" s="919"/>
      <c r="C1603" s="913" t="s">
        <v>2455</v>
      </c>
      <c r="D1603" s="606" t="s">
        <v>275</v>
      </c>
      <c r="E1603" s="826" t="s">
        <v>1092</v>
      </c>
      <c r="F1603" s="23"/>
      <c r="G1603" s="350" t="s">
        <v>1093</v>
      </c>
      <c r="H1603" s="257" t="s">
        <v>246</v>
      </c>
      <c r="I1603" s="21">
        <v>10</v>
      </c>
      <c r="J1603" s="10">
        <v>0.96</v>
      </c>
      <c r="K1603" s="9">
        <f t="shared" si="108"/>
        <v>1.2576000000000001</v>
      </c>
      <c r="L1603" s="10">
        <v>16.8</v>
      </c>
      <c r="M1603" s="9">
        <f t="shared" si="105"/>
        <v>1.47</v>
      </c>
      <c r="N1603" s="948">
        <v>0</v>
      </c>
      <c r="O1603" s="900">
        <f t="shared" si="107"/>
        <v>10</v>
      </c>
      <c r="P1603" s="901">
        <f t="shared" si="106"/>
        <v>14.7</v>
      </c>
      <c r="Q1603" s="873"/>
      <c r="R1603" s="873"/>
      <c r="S1603" s="840"/>
      <c r="T1603" s="853"/>
    </row>
    <row r="1604" spans="1:20" s="610" customFormat="1">
      <c r="A1604" s="915"/>
      <c r="B1604" s="919"/>
      <c r="C1604" s="913" t="s">
        <v>2455</v>
      </c>
      <c r="D1604" s="606" t="s">
        <v>274</v>
      </c>
      <c r="E1604" s="826" t="s">
        <v>1088</v>
      </c>
      <c r="F1604" s="23"/>
      <c r="G1604" s="114" t="s">
        <v>1089</v>
      </c>
      <c r="H1604" s="257" t="s">
        <v>246</v>
      </c>
      <c r="I1604" s="21">
        <v>7</v>
      </c>
      <c r="J1604" s="10">
        <v>1.25</v>
      </c>
      <c r="K1604" s="9">
        <f t="shared" si="108"/>
        <v>1.6375000000000002</v>
      </c>
      <c r="L1604" s="10">
        <v>16.8</v>
      </c>
      <c r="M1604" s="9">
        <f t="shared" si="105"/>
        <v>1.91</v>
      </c>
      <c r="N1604" s="948">
        <v>0</v>
      </c>
      <c r="O1604" s="900">
        <f t="shared" si="107"/>
        <v>7</v>
      </c>
      <c r="P1604" s="901">
        <f t="shared" si="106"/>
        <v>13.37</v>
      </c>
      <c r="Q1604" s="873"/>
      <c r="R1604" s="873"/>
      <c r="S1604" s="840"/>
      <c r="T1604" s="853"/>
    </row>
    <row r="1605" spans="1:20" s="610" customFormat="1">
      <c r="A1605" s="915"/>
      <c r="B1605" s="919"/>
      <c r="C1605" s="913" t="s">
        <v>2455</v>
      </c>
      <c r="D1605" s="606" t="s">
        <v>272</v>
      </c>
      <c r="E1605" s="826" t="s">
        <v>1762</v>
      </c>
      <c r="F1605" s="23"/>
      <c r="G1605" s="114" t="s">
        <v>1818</v>
      </c>
      <c r="H1605" s="257" t="s">
        <v>246</v>
      </c>
      <c r="I1605" s="21">
        <v>2</v>
      </c>
      <c r="J1605" s="10">
        <v>2.63</v>
      </c>
      <c r="K1605" s="9">
        <f t="shared" si="108"/>
        <v>3.4453</v>
      </c>
      <c r="L1605" s="10">
        <v>16.8</v>
      </c>
      <c r="M1605" s="9">
        <f t="shared" si="105"/>
        <v>4.0199999999999996</v>
      </c>
      <c r="N1605" s="948">
        <v>0</v>
      </c>
      <c r="O1605" s="900">
        <f t="shared" si="107"/>
        <v>2</v>
      </c>
      <c r="P1605" s="901">
        <f t="shared" si="106"/>
        <v>8.0399999999999991</v>
      </c>
      <c r="Q1605" s="873"/>
      <c r="R1605" s="873"/>
      <c r="S1605" s="840"/>
      <c r="T1605" s="853"/>
    </row>
    <row r="1606" spans="1:20">
      <c r="D1606" s="606"/>
      <c r="E1606" s="826"/>
      <c r="F1606" s="23"/>
      <c r="G1606" s="114"/>
      <c r="H1606" s="257"/>
      <c r="I1606" s="21"/>
      <c r="J1606" s="10"/>
      <c r="K1606" s="10"/>
      <c r="L1606" s="10"/>
      <c r="M1606" s="9"/>
      <c r="N1606" s="948"/>
      <c r="O1606" s="900"/>
      <c r="P1606" s="901"/>
      <c r="Q1606" s="874"/>
      <c r="R1606" s="874"/>
      <c r="S1606" s="841"/>
      <c r="T1606" s="854"/>
    </row>
    <row r="1607" spans="1:20">
      <c r="D1607" s="49" t="s">
        <v>16</v>
      </c>
      <c r="E1607" s="826"/>
      <c r="F1607" s="23"/>
      <c r="G1607" s="12" t="s">
        <v>1065</v>
      </c>
      <c r="H1607" s="257"/>
      <c r="I1607" s="21"/>
      <c r="J1607" s="10"/>
      <c r="K1607" s="10"/>
      <c r="L1607" s="10"/>
      <c r="M1607" s="9"/>
      <c r="N1607" s="948"/>
      <c r="O1607" s="900"/>
      <c r="P1607" s="901"/>
      <c r="Q1607" s="874"/>
      <c r="R1607" s="874"/>
      <c r="S1607" s="841"/>
      <c r="T1607" s="854"/>
    </row>
    <row r="1608" spans="1:20" s="610" customFormat="1">
      <c r="A1608" s="915"/>
      <c r="B1608" s="919"/>
      <c r="C1608" s="913" t="s">
        <v>2455</v>
      </c>
      <c r="D1608" s="49" t="s">
        <v>270</v>
      </c>
      <c r="E1608" s="826" t="s">
        <v>1063</v>
      </c>
      <c r="F1608" s="23"/>
      <c r="G1608" s="12" t="s">
        <v>1064</v>
      </c>
      <c r="H1608" s="257" t="s">
        <v>110</v>
      </c>
      <c r="I1608" s="21">
        <v>55</v>
      </c>
      <c r="J1608" s="10">
        <v>6.2</v>
      </c>
      <c r="K1608" s="9">
        <f>J1608*$S$3</f>
        <v>8.1219999999999999</v>
      </c>
      <c r="L1608" s="10">
        <v>16.8</v>
      </c>
      <c r="M1608" s="9">
        <f t="shared" si="105"/>
        <v>9.49</v>
      </c>
      <c r="N1608" s="948">
        <v>0</v>
      </c>
      <c r="O1608" s="900">
        <f t="shared" si="107"/>
        <v>55</v>
      </c>
      <c r="P1608" s="901">
        <f t="shared" si="106"/>
        <v>521.95000000000005</v>
      </c>
      <c r="Q1608" s="873"/>
      <c r="R1608" s="873"/>
      <c r="S1608" s="840"/>
      <c r="T1608" s="853"/>
    </row>
    <row r="1609" spans="1:20" s="344" customFormat="1" ht="25.5">
      <c r="A1609" s="915"/>
      <c r="B1609" s="919"/>
      <c r="C1609" s="913"/>
      <c r="D1609" s="49" t="s">
        <v>369</v>
      </c>
      <c r="E1609" s="805">
        <f>'[3]Plan Tron'!B470</f>
        <v>7572</v>
      </c>
      <c r="F1609" s="805" t="str">
        <f>'[3]Plan Tron'!C470</f>
        <v>SINAPI (INSUMO)</v>
      </c>
      <c r="G1609" s="643" t="str">
        <f>'[3]Plan Tron'!D470</f>
        <v>SUPORTE ISOLADOR REFORCADO DIAMETRO NOMINAL 5/16", COM ROSCA SOBERBA E BUCHA</v>
      </c>
      <c r="H1609" s="805" t="str">
        <f>'[3]Plan Tron'!E470</f>
        <v xml:space="preserve">UN </v>
      </c>
      <c r="I1609" s="21">
        <v>30</v>
      </c>
      <c r="J1609" s="10">
        <v>5.18</v>
      </c>
      <c r="K1609" s="10">
        <f>'[3]Plan Tron'!F470</f>
        <v>5.37</v>
      </c>
      <c r="L1609" s="10">
        <v>16.8</v>
      </c>
      <c r="M1609" s="9">
        <f t="shared" si="105"/>
        <v>6.27</v>
      </c>
      <c r="N1609" s="948">
        <v>0</v>
      </c>
      <c r="O1609" s="900">
        <f t="shared" si="107"/>
        <v>30</v>
      </c>
      <c r="P1609" s="901">
        <f t="shared" si="106"/>
        <v>188.1</v>
      </c>
      <c r="Q1609" s="874"/>
      <c r="R1609" s="874"/>
      <c r="S1609" s="841"/>
      <c r="T1609" s="854"/>
    </row>
    <row r="1610" spans="1:20" s="344" customFormat="1" ht="25.5">
      <c r="A1610" s="915"/>
      <c r="B1610" s="919"/>
      <c r="C1610" s="913"/>
      <c r="D1610" s="49" t="s">
        <v>367</v>
      </c>
      <c r="E1610" s="805">
        <f>'[3]Plan Tron'!B471</f>
        <v>3396</v>
      </c>
      <c r="F1610" s="805" t="str">
        <f>'[3]Plan Tron'!C471</f>
        <v>SINAPI (INSUMO)</v>
      </c>
      <c r="G1610" s="643" t="str">
        <f>'[3]Plan Tron'!D471</f>
        <v>SUPORTE ISOLADOR SIMPLES DIAMETRO NOMINAL 5/16", COM ROSCA SOBERBA E BUCHA</v>
      </c>
      <c r="H1610" s="805" t="str">
        <f>'[3]Plan Tron'!E471</f>
        <v xml:space="preserve">UN </v>
      </c>
      <c r="I1610" s="21">
        <v>23</v>
      </c>
      <c r="J1610" s="10">
        <v>2.19</v>
      </c>
      <c r="K1610" s="10">
        <f>'[3]Plan Tron'!F471</f>
        <v>3.8</v>
      </c>
      <c r="L1610" s="10">
        <v>16.8</v>
      </c>
      <c r="M1610" s="9">
        <f t="shared" si="105"/>
        <v>4.4400000000000004</v>
      </c>
      <c r="N1610" s="948">
        <v>0</v>
      </c>
      <c r="O1610" s="900">
        <f t="shared" si="107"/>
        <v>23</v>
      </c>
      <c r="P1610" s="901">
        <f t="shared" si="106"/>
        <v>102.12</v>
      </c>
      <c r="Q1610" s="874"/>
      <c r="R1610" s="874"/>
      <c r="S1610" s="841"/>
      <c r="T1610" s="854"/>
    </row>
    <row r="1611" spans="1:20" s="344" customFormat="1" ht="25.5">
      <c r="A1611" s="915"/>
      <c r="B1611" s="919"/>
      <c r="C1611" s="913"/>
      <c r="D1611" s="49" t="s">
        <v>365</v>
      </c>
      <c r="E1611" s="805">
        <f>'[3]Plan Tron'!B472</f>
        <v>11864</v>
      </c>
      <c r="F1611" s="805" t="str">
        <f>'[3]Plan Tron'!C472</f>
        <v>SINAPI (INSUMO)</v>
      </c>
      <c r="G1611" s="643" t="str">
        <f>'[3]Plan Tron'!D472</f>
        <v xml:space="preserve">CONECTOR METALICO TIPO PARAFUSO FENDIDO (SPLIT BOLT), PARA CABOS ATE 95 MM2 </v>
      </c>
      <c r="H1611" s="805" t="str">
        <f>'[3]Plan Tron'!E472</f>
        <v xml:space="preserve">UN </v>
      </c>
      <c r="I1611" s="21">
        <v>20</v>
      </c>
      <c r="J1611" s="10">
        <v>9.8699999999999992</v>
      </c>
      <c r="K1611" s="10">
        <f>'[3]Plan Tron'!F472</f>
        <v>12.31</v>
      </c>
      <c r="L1611" s="10">
        <v>16.8</v>
      </c>
      <c r="M1611" s="9">
        <f t="shared" si="105"/>
        <v>14.38</v>
      </c>
      <c r="N1611" s="948">
        <v>0</v>
      </c>
      <c r="O1611" s="900">
        <f t="shared" si="107"/>
        <v>20</v>
      </c>
      <c r="P1611" s="901">
        <f t="shared" si="106"/>
        <v>287.60000000000002</v>
      </c>
      <c r="Q1611" s="874"/>
      <c r="R1611" s="874"/>
      <c r="S1611" s="841"/>
      <c r="T1611" s="854"/>
    </row>
    <row r="1612" spans="1:20" s="610" customFormat="1">
      <c r="A1612" s="915"/>
      <c r="B1612" s="919"/>
      <c r="C1612" s="913" t="s">
        <v>2455</v>
      </c>
      <c r="D1612" s="49" t="s">
        <v>1045</v>
      </c>
      <c r="E1612" s="57" t="s">
        <v>268</v>
      </c>
      <c r="F1612" s="50"/>
      <c r="G1612" s="12" t="s">
        <v>1817</v>
      </c>
      <c r="H1612" s="7" t="s">
        <v>158</v>
      </c>
      <c r="I1612" s="21">
        <v>4</v>
      </c>
      <c r="J1612" s="10">
        <v>29.48</v>
      </c>
      <c r="K1612" s="9">
        <f t="shared" ref="K1612:K1617" si="109">J1612*$S$3</f>
        <v>38.6188</v>
      </c>
      <c r="L1612" s="10">
        <v>16.8</v>
      </c>
      <c r="M1612" s="9">
        <f t="shared" si="105"/>
        <v>45.11</v>
      </c>
      <c r="N1612" s="948">
        <v>0</v>
      </c>
      <c r="O1612" s="900">
        <f t="shared" si="107"/>
        <v>4</v>
      </c>
      <c r="P1612" s="901">
        <f t="shared" si="106"/>
        <v>180.44</v>
      </c>
      <c r="Q1612" s="873"/>
      <c r="R1612" s="873"/>
      <c r="S1612" s="840"/>
      <c r="T1612" s="853"/>
    </row>
    <row r="1613" spans="1:20" s="610" customFormat="1" ht="25.5">
      <c r="A1613" s="915"/>
      <c r="B1613" s="919"/>
      <c r="C1613" s="913" t="s">
        <v>2455</v>
      </c>
      <c r="D1613" s="49" t="s">
        <v>1043</v>
      </c>
      <c r="E1613" s="57" t="s">
        <v>193</v>
      </c>
      <c r="F1613" s="50"/>
      <c r="G1613" s="12" t="s">
        <v>194</v>
      </c>
      <c r="H1613" s="18" t="s">
        <v>158</v>
      </c>
      <c r="I1613" s="21">
        <v>1</v>
      </c>
      <c r="J1613" s="10">
        <v>180</v>
      </c>
      <c r="K1613" s="9">
        <f t="shared" si="109"/>
        <v>235.8</v>
      </c>
      <c r="L1613" s="10">
        <v>16.8</v>
      </c>
      <c r="M1613" s="9">
        <f t="shared" si="105"/>
        <v>275.41000000000003</v>
      </c>
      <c r="N1613" s="948">
        <v>0</v>
      </c>
      <c r="O1613" s="900">
        <f t="shared" si="107"/>
        <v>1</v>
      </c>
      <c r="P1613" s="901">
        <f t="shared" si="106"/>
        <v>275.41000000000003</v>
      </c>
      <c r="Q1613" s="873"/>
      <c r="R1613" s="873"/>
      <c r="S1613" s="840"/>
      <c r="T1613" s="853"/>
    </row>
    <row r="1614" spans="1:20" s="610" customFormat="1">
      <c r="A1614" s="915"/>
      <c r="B1614" s="919"/>
      <c r="C1614" s="913" t="s">
        <v>2455</v>
      </c>
      <c r="D1614" s="49" t="s">
        <v>1090</v>
      </c>
      <c r="E1614" s="57" t="s">
        <v>190</v>
      </c>
      <c r="F1614" s="50"/>
      <c r="G1614" s="12" t="s">
        <v>191</v>
      </c>
      <c r="H1614" s="18" t="s">
        <v>158</v>
      </c>
      <c r="I1614" s="21">
        <v>16</v>
      </c>
      <c r="J1614" s="10">
        <v>17.5</v>
      </c>
      <c r="K1614" s="9">
        <f t="shared" si="109"/>
        <v>22.925000000000001</v>
      </c>
      <c r="L1614" s="10">
        <v>16.8</v>
      </c>
      <c r="M1614" s="9">
        <f t="shared" si="105"/>
        <v>26.78</v>
      </c>
      <c r="N1614" s="948">
        <v>0</v>
      </c>
      <c r="O1614" s="900">
        <f t="shared" si="107"/>
        <v>16</v>
      </c>
      <c r="P1614" s="901">
        <f t="shared" si="106"/>
        <v>428.48</v>
      </c>
      <c r="Q1614" s="873"/>
      <c r="R1614" s="873"/>
      <c r="S1614" s="840"/>
      <c r="T1614" s="853"/>
    </row>
    <row r="1615" spans="1:20" s="610" customFormat="1">
      <c r="A1615" s="915"/>
      <c r="B1615" s="919"/>
      <c r="C1615" s="913" t="s">
        <v>2455</v>
      </c>
      <c r="D1615" s="49" t="s">
        <v>1087</v>
      </c>
      <c r="E1615" s="826" t="s">
        <v>1060</v>
      </c>
      <c r="F1615" s="23"/>
      <c r="G1615" s="12" t="s">
        <v>1061</v>
      </c>
      <c r="H1615" s="18" t="s">
        <v>158</v>
      </c>
      <c r="I1615" s="21">
        <v>4</v>
      </c>
      <c r="J1615" s="10">
        <v>24.82</v>
      </c>
      <c r="K1615" s="9">
        <f t="shared" si="109"/>
        <v>32.514200000000002</v>
      </c>
      <c r="L1615" s="10">
        <v>16.8</v>
      </c>
      <c r="M1615" s="9">
        <f t="shared" si="105"/>
        <v>37.979999999999997</v>
      </c>
      <c r="N1615" s="948">
        <v>0</v>
      </c>
      <c r="O1615" s="900">
        <f t="shared" si="107"/>
        <v>4</v>
      </c>
      <c r="P1615" s="901">
        <f t="shared" si="106"/>
        <v>151.91999999999999</v>
      </c>
      <c r="Q1615" s="873"/>
      <c r="R1615" s="873"/>
      <c r="S1615" s="840"/>
      <c r="T1615" s="853"/>
    </row>
    <row r="1616" spans="1:20" s="610" customFormat="1">
      <c r="A1616" s="915"/>
      <c r="B1616" s="919"/>
      <c r="C1616" s="913" t="s">
        <v>2455</v>
      </c>
      <c r="D1616" s="49" t="s">
        <v>1084</v>
      </c>
      <c r="E1616" s="826" t="s">
        <v>1058</v>
      </c>
      <c r="F1616" s="23"/>
      <c r="G1616" s="12" t="s">
        <v>1816</v>
      </c>
      <c r="H1616" s="18" t="s">
        <v>158</v>
      </c>
      <c r="I1616" s="21">
        <v>4</v>
      </c>
      <c r="J1616" s="10">
        <v>10.6</v>
      </c>
      <c r="K1616" s="9">
        <f t="shared" si="109"/>
        <v>13.885999999999999</v>
      </c>
      <c r="L1616" s="10">
        <v>16.8</v>
      </c>
      <c r="M1616" s="9">
        <f t="shared" si="105"/>
        <v>16.22</v>
      </c>
      <c r="N1616" s="948">
        <v>0</v>
      </c>
      <c r="O1616" s="900">
        <f t="shared" si="107"/>
        <v>4</v>
      </c>
      <c r="P1616" s="901">
        <f t="shared" si="106"/>
        <v>64.88</v>
      </c>
      <c r="Q1616" s="873"/>
      <c r="R1616" s="873"/>
      <c r="S1616" s="840"/>
      <c r="T1616" s="853"/>
    </row>
    <row r="1617" spans="1:20" s="610" customFormat="1">
      <c r="A1617" s="915"/>
      <c r="B1617" s="919"/>
      <c r="C1617" s="913" t="s">
        <v>2455</v>
      </c>
      <c r="D1617" s="49" t="s">
        <v>1168</v>
      </c>
      <c r="E1617" s="826" t="s">
        <v>1056</v>
      </c>
      <c r="F1617" s="23"/>
      <c r="G1617" s="12" t="s">
        <v>1057</v>
      </c>
      <c r="H1617" s="7" t="s">
        <v>158</v>
      </c>
      <c r="I1617" s="21">
        <v>16</v>
      </c>
      <c r="J1617" s="10">
        <v>22.3</v>
      </c>
      <c r="K1617" s="9">
        <f t="shared" si="109"/>
        <v>29.213000000000001</v>
      </c>
      <c r="L1617" s="10">
        <v>16.8</v>
      </c>
      <c r="M1617" s="9">
        <f t="shared" ref="M1617:M1680" si="110">ROUND(K1617*(L1617/100+1),2)</f>
        <v>34.119999999999997</v>
      </c>
      <c r="N1617" s="948">
        <v>0</v>
      </c>
      <c r="O1617" s="900">
        <f t="shared" si="107"/>
        <v>16</v>
      </c>
      <c r="P1617" s="901">
        <f t="shared" ref="P1617:P1680" si="111">ROUND(O1617*M1617,2)</f>
        <v>545.91999999999996</v>
      </c>
      <c r="Q1617" s="873"/>
      <c r="R1617" s="873"/>
      <c r="S1617" s="840"/>
      <c r="T1617" s="853"/>
    </row>
    <row r="1618" spans="1:20">
      <c r="D1618" s="49" t="s">
        <v>15</v>
      </c>
      <c r="E1618" s="57"/>
      <c r="F1618" s="50"/>
      <c r="G1618" s="12" t="s">
        <v>867</v>
      </c>
      <c r="H1618" s="18"/>
      <c r="I1618" s="21"/>
      <c r="J1618" s="10"/>
      <c r="K1618" s="10"/>
      <c r="L1618" s="10"/>
      <c r="M1618" s="9"/>
      <c r="N1618" s="948"/>
      <c r="O1618" s="900"/>
      <c r="P1618" s="901"/>
      <c r="Q1618" s="874"/>
      <c r="R1618" s="874"/>
      <c r="S1618" s="841"/>
      <c r="T1618" s="854"/>
    </row>
    <row r="1619" spans="1:20" s="610" customFormat="1" ht="38.25">
      <c r="A1619" s="915"/>
      <c r="B1619" s="919"/>
      <c r="C1619" s="913" t="s">
        <v>2455</v>
      </c>
      <c r="D1619" s="49" t="s">
        <v>249</v>
      </c>
      <c r="E1619" s="57" t="s">
        <v>768</v>
      </c>
      <c r="F1619" s="50"/>
      <c r="G1619" s="134" t="s">
        <v>769</v>
      </c>
      <c r="H1619" s="18" t="s">
        <v>326</v>
      </c>
      <c r="I1619" s="21">
        <v>1</v>
      </c>
      <c r="J1619" s="10">
        <v>423.43</v>
      </c>
      <c r="K1619" s="9">
        <f>J1619*$S$3</f>
        <v>554.69330000000002</v>
      </c>
      <c r="L1619" s="10">
        <v>16.8</v>
      </c>
      <c r="M1619" s="9">
        <f t="shared" si="110"/>
        <v>647.88</v>
      </c>
      <c r="N1619" s="948">
        <v>0</v>
      </c>
      <c r="O1619" s="900">
        <f t="shared" si="107"/>
        <v>1</v>
      </c>
      <c r="P1619" s="901">
        <f t="shared" si="111"/>
        <v>647.88</v>
      </c>
      <c r="Q1619" s="873"/>
      <c r="R1619" s="873"/>
      <c r="S1619" s="840"/>
      <c r="T1619" s="853"/>
    </row>
    <row r="1620" spans="1:20">
      <c r="D1620" s="49"/>
      <c r="E1620" s="24"/>
      <c r="F1620" s="60"/>
      <c r="G1620" s="12"/>
      <c r="H1620" s="37"/>
      <c r="I1620" s="21"/>
      <c r="J1620" s="264"/>
      <c r="K1620" s="264"/>
      <c r="L1620" s="264"/>
      <c r="M1620" s="9"/>
      <c r="N1620" s="926"/>
      <c r="O1620" s="900"/>
      <c r="P1620" s="901"/>
      <c r="Q1620" s="874"/>
      <c r="R1620" s="874"/>
      <c r="S1620" s="841"/>
      <c r="T1620" s="854"/>
    </row>
    <row r="1621" spans="1:20">
      <c r="D1621" s="55"/>
      <c r="E1621" s="24"/>
      <c r="F1621" s="60"/>
      <c r="G1621" s="56"/>
      <c r="H1621" s="22"/>
      <c r="I1621" s="51"/>
      <c r="J1621" s="264"/>
      <c r="K1621" s="264"/>
      <c r="L1621" s="264"/>
      <c r="M1621" s="9"/>
      <c r="N1621" s="936"/>
      <c r="O1621" s="900"/>
      <c r="P1621" s="901"/>
      <c r="Q1621" s="874"/>
      <c r="R1621" s="874"/>
      <c r="S1621" s="841"/>
      <c r="T1621" s="854"/>
    </row>
    <row r="1622" spans="1:20" s="299" customFormat="1">
      <c r="A1622" s="918"/>
      <c r="B1622" s="922"/>
      <c r="C1622" s="924"/>
      <c r="D1622" s="929"/>
      <c r="E1622" s="930"/>
      <c r="F1622" s="929"/>
      <c r="G1622" s="930" t="s">
        <v>70</v>
      </c>
      <c r="H1622" s="929" t="str">
        <f>D1575</f>
        <v>32.2</v>
      </c>
      <c r="I1622" s="929"/>
      <c r="J1622" s="929"/>
      <c r="K1622" s="929"/>
      <c r="L1622" s="929"/>
      <c r="M1622" s="9"/>
      <c r="N1622" s="937"/>
      <c r="O1622" s="900"/>
      <c r="P1622" s="901">
        <f>SUM(P1581:P1619)</f>
        <v>8872.1099999999969</v>
      </c>
      <c r="Q1622" s="874"/>
      <c r="R1622" s="874"/>
      <c r="S1622" s="841"/>
      <c r="T1622" s="854"/>
    </row>
    <row r="1623" spans="1:20">
      <c r="D1623" s="384"/>
      <c r="E1623" s="931"/>
      <c r="F1623" s="384"/>
      <c r="G1623" s="384"/>
      <c r="H1623" s="384"/>
      <c r="I1623" s="384"/>
      <c r="J1623" s="384"/>
      <c r="K1623" s="384"/>
      <c r="L1623" s="384"/>
      <c r="M1623" s="9"/>
      <c r="N1623" s="926"/>
      <c r="O1623" s="900"/>
      <c r="P1623" s="901"/>
      <c r="Q1623" s="874"/>
      <c r="R1623" s="874"/>
      <c r="S1623" s="841"/>
      <c r="T1623" s="854"/>
    </row>
    <row r="1624" spans="1:20" s="310" customFormat="1">
      <c r="A1624" s="915"/>
      <c r="B1624" s="919"/>
      <c r="C1624" s="913"/>
      <c r="D1624" s="108">
        <v>34</v>
      </c>
      <c r="E1624" s="813"/>
      <c r="F1624" s="109"/>
      <c r="G1624" s="108" t="s">
        <v>1985</v>
      </c>
      <c r="H1624" s="109"/>
      <c r="I1624" s="109"/>
      <c r="J1624" s="109"/>
      <c r="K1624" s="109"/>
      <c r="L1624" s="109"/>
      <c r="M1624" s="791"/>
      <c r="N1624" s="378"/>
      <c r="O1624" s="792"/>
      <c r="P1624" s="864"/>
      <c r="Q1624" s="872"/>
      <c r="R1624" s="872"/>
      <c r="S1624" s="842"/>
      <c r="T1624" s="852"/>
    </row>
    <row r="1625" spans="1:20" s="310" customFormat="1">
      <c r="A1625" s="915"/>
      <c r="B1625" s="919"/>
      <c r="C1625" s="913"/>
      <c r="D1625" s="108" t="s">
        <v>1986</v>
      </c>
      <c r="E1625" s="813"/>
      <c r="F1625" s="109"/>
      <c r="G1625" s="108" t="s">
        <v>2007</v>
      </c>
      <c r="H1625" s="109"/>
      <c r="I1625" s="109"/>
      <c r="J1625" s="109"/>
      <c r="K1625" s="109"/>
      <c r="L1625" s="109"/>
      <c r="M1625" s="791"/>
      <c r="N1625" s="378"/>
      <c r="O1625" s="792"/>
      <c r="P1625" s="864"/>
      <c r="Q1625" s="872"/>
      <c r="R1625" s="872"/>
      <c r="S1625" s="842"/>
      <c r="T1625" s="852"/>
    </row>
    <row r="1626" spans="1:20">
      <c r="D1626" s="44"/>
      <c r="E1626" s="296"/>
      <c r="F1626" s="44"/>
      <c r="G1626" s="44"/>
      <c r="H1626" s="44"/>
      <c r="I1626" s="44"/>
      <c r="J1626" s="302"/>
      <c r="K1626" s="302"/>
      <c r="L1626" s="44"/>
      <c r="M1626" s="9"/>
      <c r="N1626" s="375"/>
      <c r="O1626" s="789"/>
      <c r="P1626" s="863"/>
      <c r="Q1626" s="874"/>
      <c r="R1626" s="874"/>
      <c r="S1626" s="841"/>
      <c r="T1626" s="854"/>
    </row>
    <row r="1627" spans="1:20" ht="25.5">
      <c r="D1627" s="45"/>
      <c r="E1627" s="57"/>
      <c r="F1627" s="57"/>
      <c r="G1627" s="46" t="s">
        <v>1844</v>
      </c>
      <c r="H1627" s="47"/>
      <c r="I1627" s="48"/>
      <c r="J1627" s="312"/>
      <c r="K1627" s="312"/>
      <c r="L1627" s="9"/>
      <c r="M1627" s="9"/>
      <c r="N1627" s="375"/>
      <c r="O1627" s="789"/>
      <c r="P1627" s="863"/>
      <c r="Q1627" s="874"/>
      <c r="R1627" s="874"/>
      <c r="S1627" s="841"/>
      <c r="T1627" s="854"/>
    </row>
    <row r="1628" spans="1:20">
      <c r="D1628" s="45"/>
      <c r="E1628" s="57"/>
      <c r="F1628" s="57"/>
      <c r="G1628" s="46"/>
      <c r="H1628" s="47"/>
      <c r="I1628" s="48"/>
      <c r="J1628" s="312"/>
      <c r="K1628" s="312"/>
      <c r="L1628" s="9"/>
      <c r="M1628" s="9"/>
      <c r="N1628" s="375"/>
      <c r="O1628" s="789"/>
      <c r="P1628" s="863"/>
      <c r="Q1628" s="874"/>
      <c r="R1628" s="874"/>
      <c r="S1628" s="841"/>
      <c r="T1628" s="854"/>
    </row>
    <row r="1629" spans="1:20">
      <c r="D1629" s="45">
        <v>1</v>
      </c>
      <c r="E1629" s="57"/>
      <c r="F1629" s="57"/>
      <c r="G1629" s="46" t="s">
        <v>1843</v>
      </c>
      <c r="H1629" s="47"/>
      <c r="I1629" s="48"/>
      <c r="J1629" s="9"/>
      <c r="K1629" s="9"/>
      <c r="L1629" s="9"/>
      <c r="M1629" s="9"/>
      <c r="N1629" s="375"/>
      <c r="O1629" s="789"/>
      <c r="P1629" s="863"/>
      <c r="Q1629" s="874"/>
      <c r="R1629" s="874"/>
      <c r="S1629" s="841"/>
      <c r="T1629" s="854"/>
    </row>
    <row r="1630" spans="1:20">
      <c r="D1630" s="49" t="s">
        <v>20</v>
      </c>
      <c r="E1630" s="57"/>
      <c r="F1630" s="57"/>
      <c r="G1630" s="12" t="s">
        <v>1842</v>
      </c>
      <c r="H1630" s="7"/>
      <c r="I1630" s="27"/>
      <c r="J1630" s="9"/>
      <c r="K1630" s="9"/>
      <c r="L1630" s="9"/>
      <c r="M1630" s="9"/>
      <c r="N1630" s="926"/>
      <c r="O1630" s="900"/>
      <c r="P1630" s="901"/>
      <c r="Q1630" s="874"/>
      <c r="R1630" s="874"/>
      <c r="S1630" s="841"/>
      <c r="T1630" s="854"/>
    </row>
    <row r="1631" spans="1:20" s="610" customFormat="1" ht="38.25">
      <c r="A1631" s="915"/>
      <c r="B1631" s="919"/>
      <c r="C1631" s="913" t="s">
        <v>2455</v>
      </c>
      <c r="D1631" s="49" t="s">
        <v>153</v>
      </c>
      <c r="E1631" s="57" t="s">
        <v>1840</v>
      </c>
      <c r="F1631" s="50"/>
      <c r="G1631" s="12" t="s">
        <v>1841</v>
      </c>
      <c r="H1631" s="7" t="s">
        <v>183</v>
      </c>
      <c r="I1631" s="27">
        <v>1</v>
      </c>
      <c r="J1631" s="9">
        <v>26366.7</v>
      </c>
      <c r="K1631" s="9">
        <f>J1631*$S$3</f>
        <v>34540.377</v>
      </c>
      <c r="L1631" s="9">
        <v>16.8</v>
      </c>
      <c r="M1631" s="9">
        <f t="shared" si="110"/>
        <v>40343.160000000003</v>
      </c>
      <c r="N1631" s="948">
        <v>0</v>
      </c>
      <c r="O1631" s="900">
        <f t="shared" si="107"/>
        <v>1</v>
      </c>
      <c r="P1631" s="901">
        <f t="shared" si="111"/>
        <v>40343.160000000003</v>
      </c>
      <c r="Q1631" s="873"/>
      <c r="R1631" s="873"/>
      <c r="S1631" s="840"/>
      <c r="T1631" s="853"/>
    </row>
    <row r="1632" spans="1:20" s="610" customFormat="1" ht="38.25">
      <c r="A1632" s="915"/>
      <c r="B1632" s="919"/>
      <c r="C1632" s="913" t="s">
        <v>2455</v>
      </c>
      <c r="D1632" s="49" t="s">
        <v>151</v>
      </c>
      <c r="E1632" s="57" t="s">
        <v>1838</v>
      </c>
      <c r="F1632" s="50"/>
      <c r="G1632" s="12" t="s">
        <v>1839</v>
      </c>
      <c r="H1632" s="7" t="s">
        <v>183</v>
      </c>
      <c r="I1632" s="27">
        <v>1</v>
      </c>
      <c r="J1632" s="9">
        <v>1725</v>
      </c>
      <c r="K1632" s="9">
        <f>J1632*$S$3</f>
        <v>2259.75</v>
      </c>
      <c r="L1632" s="9">
        <v>16.8</v>
      </c>
      <c r="M1632" s="9">
        <f t="shared" si="110"/>
        <v>2639.39</v>
      </c>
      <c r="N1632" s="948">
        <v>0</v>
      </c>
      <c r="O1632" s="900">
        <f t="shared" si="107"/>
        <v>1</v>
      </c>
      <c r="P1632" s="901">
        <f t="shared" si="111"/>
        <v>2639.39</v>
      </c>
      <c r="Q1632" s="873"/>
      <c r="R1632" s="873"/>
      <c r="S1632" s="840"/>
      <c r="T1632" s="853"/>
    </row>
    <row r="1633" spans="1:20">
      <c r="D1633" s="49" t="s">
        <v>19</v>
      </c>
      <c r="E1633" s="345"/>
      <c r="F1633" s="11"/>
      <c r="G1633" s="12" t="s">
        <v>441</v>
      </c>
      <c r="H1633" s="47"/>
      <c r="I1633" s="48"/>
      <c r="J1633" s="9"/>
      <c r="K1633" s="9"/>
      <c r="L1633" s="9"/>
      <c r="M1633" s="9"/>
      <c r="N1633" s="948"/>
      <c r="O1633" s="900"/>
      <c r="P1633" s="901"/>
      <c r="Q1633" s="874"/>
      <c r="R1633" s="874"/>
      <c r="S1633" s="841"/>
      <c r="T1633" s="854"/>
    </row>
    <row r="1634" spans="1:20" s="344" customFormat="1" ht="25.5">
      <c r="A1634" s="915"/>
      <c r="B1634" s="919"/>
      <c r="C1634" s="913"/>
      <c r="D1634" s="49" t="s">
        <v>147</v>
      </c>
      <c r="E1634" s="805">
        <f>'[3]Plan Tron'!B473</f>
        <v>2631</v>
      </c>
      <c r="F1634" s="805" t="str">
        <f>'[3]Plan Tron'!C473</f>
        <v>SINAPI (INSUMO)</v>
      </c>
      <c r="G1634" s="643" t="str">
        <f>'[3]Plan Tron'!D473</f>
        <v>CURVA 90 GRAUS, PARA ELETRODUTO, EM ACO GALVANIZADO ELETROLITICO, DIAMETRO DE 50 MM (2")</v>
      </c>
      <c r="H1634" s="805" t="str">
        <f>'[3]Plan Tron'!E473</f>
        <v xml:space="preserve">UN </v>
      </c>
      <c r="I1634" s="36">
        <v>1</v>
      </c>
      <c r="J1634" s="9">
        <v>15.67</v>
      </c>
      <c r="K1634" s="9">
        <f>'[3]Plan Tron'!F473</f>
        <v>13.89</v>
      </c>
      <c r="L1634" s="9">
        <v>16.8</v>
      </c>
      <c r="M1634" s="9">
        <f t="shared" si="110"/>
        <v>16.22</v>
      </c>
      <c r="N1634" s="948">
        <v>0</v>
      </c>
      <c r="O1634" s="900">
        <f t="shared" si="107"/>
        <v>1</v>
      </c>
      <c r="P1634" s="901">
        <f t="shared" si="111"/>
        <v>16.22</v>
      </c>
      <c r="Q1634" s="874"/>
      <c r="R1634" s="874"/>
      <c r="S1634" s="841"/>
      <c r="T1634" s="854"/>
    </row>
    <row r="1635" spans="1:20" s="344" customFormat="1" ht="25.5">
      <c r="A1635" s="915"/>
      <c r="B1635" s="919"/>
      <c r="C1635" s="913"/>
      <c r="D1635" s="49" t="s">
        <v>213</v>
      </c>
      <c r="E1635" s="805">
        <f>'[3]Plan Tron'!B474</f>
        <v>2637</v>
      </c>
      <c r="F1635" s="805" t="str">
        <f>'[3]Plan Tron'!C474</f>
        <v>SINAPI (INSUMO)</v>
      </c>
      <c r="G1635" s="643" t="str">
        <f>'[3]Plan Tron'!D474</f>
        <v xml:space="preserve">LUVA PARA ELETRODUTO, EM ACO GALVANIZADO ELETROLITICO, DIAMETRO DE 20 MM (3/4") </v>
      </c>
      <c r="H1635" s="805" t="str">
        <f>'[3]Plan Tron'!E474</f>
        <v xml:space="preserve">UN </v>
      </c>
      <c r="I1635" s="36">
        <v>5</v>
      </c>
      <c r="J1635" s="9">
        <v>0.89</v>
      </c>
      <c r="K1635" s="9">
        <f>'[3]Plan Tron'!F474</f>
        <v>0.94</v>
      </c>
      <c r="L1635" s="9">
        <v>16.8</v>
      </c>
      <c r="M1635" s="9">
        <f t="shared" si="110"/>
        <v>1.1000000000000001</v>
      </c>
      <c r="N1635" s="948">
        <v>0</v>
      </c>
      <c r="O1635" s="900">
        <f t="shared" ref="O1635:O1698" si="112">I1635-N1635</f>
        <v>5</v>
      </c>
      <c r="P1635" s="901">
        <f t="shared" si="111"/>
        <v>5.5</v>
      </c>
      <c r="Q1635" s="874"/>
      <c r="R1635" s="874"/>
      <c r="S1635" s="841"/>
      <c r="T1635" s="854"/>
    </row>
    <row r="1636" spans="1:20" s="344" customFormat="1" ht="25.5">
      <c r="A1636" s="915"/>
      <c r="B1636" s="919"/>
      <c r="C1636" s="913"/>
      <c r="D1636" s="49" t="s">
        <v>212</v>
      </c>
      <c r="E1636" s="805">
        <f>'[3]Plan Tron'!B475</f>
        <v>2643</v>
      </c>
      <c r="F1636" s="805" t="str">
        <f>'[3]Plan Tron'!C475</f>
        <v>SINAPI (INSUMO)</v>
      </c>
      <c r="G1636" s="643" t="str">
        <f>'[3]Plan Tron'!D475</f>
        <v xml:space="preserve">LUVA PARA ELETRODUTO, EM ACO GALVANIZADO ELETROLITICO, DIAMETRO DE 50 MM (2") </v>
      </c>
      <c r="H1636" s="805" t="str">
        <f>'[3]Plan Tron'!E475</f>
        <v xml:space="preserve">UN </v>
      </c>
      <c r="I1636" s="36">
        <v>4</v>
      </c>
      <c r="J1636" s="9">
        <v>3.5</v>
      </c>
      <c r="K1636" s="9">
        <f>'[3]Plan Tron'!F475</f>
        <v>3.93</v>
      </c>
      <c r="L1636" s="9">
        <v>16.8</v>
      </c>
      <c r="M1636" s="9">
        <f t="shared" si="110"/>
        <v>4.59</v>
      </c>
      <c r="N1636" s="948">
        <v>0</v>
      </c>
      <c r="O1636" s="900">
        <f t="shared" si="112"/>
        <v>4</v>
      </c>
      <c r="P1636" s="901">
        <f t="shared" si="111"/>
        <v>18.36</v>
      </c>
      <c r="Q1636" s="874"/>
      <c r="R1636" s="874"/>
      <c r="S1636" s="841"/>
      <c r="T1636" s="854"/>
    </row>
    <row r="1637" spans="1:20" s="800" customFormat="1" ht="25.5">
      <c r="A1637" s="915"/>
      <c r="B1637" s="919"/>
      <c r="C1637" s="913"/>
      <c r="D1637" s="49" t="s">
        <v>211</v>
      </c>
      <c r="E1637" s="57">
        <v>851</v>
      </c>
      <c r="F1637" s="805" t="s">
        <v>2017</v>
      </c>
      <c r="G1637" s="12" t="s">
        <v>1837</v>
      </c>
      <c r="H1637" s="18" t="s">
        <v>158</v>
      </c>
      <c r="I1637" s="36">
        <v>1</v>
      </c>
      <c r="J1637" s="9">
        <v>0.47</v>
      </c>
      <c r="K1637" s="9">
        <f>J1637*$S$3</f>
        <v>0.61570000000000003</v>
      </c>
      <c r="L1637" s="9">
        <v>16.8</v>
      </c>
      <c r="M1637" s="9">
        <f t="shared" si="110"/>
        <v>0.72</v>
      </c>
      <c r="N1637" s="948">
        <v>0</v>
      </c>
      <c r="O1637" s="900">
        <f t="shared" si="112"/>
        <v>1</v>
      </c>
      <c r="P1637" s="901">
        <f t="shared" si="111"/>
        <v>0.72</v>
      </c>
      <c r="Q1637" s="875"/>
      <c r="R1637" s="875"/>
      <c r="S1637" s="844"/>
      <c r="T1637" s="857"/>
    </row>
    <row r="1638" spans="1:20" s="800" customFormat="1" ht="25.5">
      <c r="A1638" s="915"/>
      <c r="B1638" s="919"/>
      <c r="C1638" s="913"/>
      <c r="D1638" s="49" t="s">
        <v>208</v>
      </c>
      <c r="E1638" s="57">
        <v>843</v>
      </c>
      <c r="F1638" s="805" t="s">
        <v>2017</v>
      </c>
      <c r="G1638" s="12" t="s">
        <v>1836</v>
      </c>
      <c r="H1638" s="18" t="s">
        <v>158</v>
      </c>
      <c r="I1638" s="36">
        <v>1</v>
      </c>
      <c r="J1638" s="9">
        <v>1.55</v>
      </c>
      <c r="K1638" s="9">
        <f>J1638*$S$3</f>
        <v>2.0305</v>
      </c>
      <c r="L1638" s="9">
        <v>16.8</v>
      </c>
      <c r="M1638" s="9">
        <f t="shared" si="110"/>
        <v>2.37</v>
      </c>
      <c r="N1638" s="948">
        <v>0</v>
      </c>
      <c r="O1638" s="900">
        <f t="shared" si="112"/>
        <v>1</v>
      </c>
      <c r="P1638" s="901">
        <f t="shared" si="111"/>
        <v>2.37</v>
      </c>
      <c r="Q1638" s="875"/>
      <c r="R1638" s="875"/>
      <c r="S1638" s="844"/>
      <c r="T1638" s="857"/>
    </row>
    <row r="1639" spans="1:20" s="344" customFormat="1" ht="25.5">
      <c r="A1639" s="915"/>
      <c r="B1639" s="919"/>
      <c r="C1639" s="913"/>
      <c r="D1639" s="49" t="s">
        <v>205</v>
      </c>
      <c r="E1639" s="805">
        <f>'[3]Plan Tron'!B476</f>
        <v>400</v>
      </c>
      <c r="F1639" s="805" t="str">
        <f>'[3]Plan Tron'!C476</f>
        <v>SINAPI (INSUMO)</v>
      </c>
      <c r="G1639" s="643" t="str">
        <f>'[3]Plan Tron'!D476</f>
        <v>ABRACADEIRA EM ACO PARA AMARRACAO DE ELETRODUTOS, TIPO D, COM 3/4" E PARAFUSO DE FIXACAO</v>
      </c>
      <c r="H1639" s="805" t="str">
        <f>'[3]Plan Tron'!E476</f>
        <v xml:space="preserve">UN </v>
      </c>
      <c r="I1639" s="27">
        <v>10</v>
      </c>
      <c r="J1639" s="9">
        <v>0.44</v>
      </c>
      <c r="K1639" s="9">
        <f>'[3]Plan Tron'!F476</f>
        <v>0.61</v>
      </c>
      <c r="L1639" s="9">
        <v>16.8</v>
      </c>
      <c r="M1639" s="9">
        <f t="shared" si="110"/>
        <v>0.71</v>
      </c>
      <c r="N1639" s="948">
        <v>0</v>
      </c>
      <c r="O1639" s="900">
        <f t="shared" si="112"/>
        <v>10</v>
      </c>
      <c r="P1639" s="901">
        <f t="shared" si="111"/>
        <v>7.1</v>
      </c>
      <c r="Q1639" s="874"/>
      <c r="R1639" s="874"/>
      <c r="S1639" s="841"/>
      <c r="T1639" s="854"/>
    </row>
    <row r="1640" spans="1:20" s="344" customFormat="1" ht="25.5">
      <c r="A1640" s="915"/>
      <c r="B1640" s="919"/>
      <c r="C1640" s="913"/>
      <c r="D1640" s="49" t="s">
        <v>204</v>
      </c>
      <c r="E1640" s="805">
        <f>'[3]Plan Tron'!B477</f>
        <v>396</v>
      </c>
      <c r="F1640" s="805" t="str">
        <f>'[3]Plan Tron'!C477</f>
        <v>SINAPI (INSUMO)</v>
      </c>
      <c r="G1640" s="643" t="str">
        <f>'[3]Plan Tron'!D477</f>
        <v>ABRACADEIRA EM ACO PARA AMARRACAO DE ELETRODUTOS, TIPO D, COM 2" E PARAFUSO DE FIXACAO</v>
      </c>
      <c r="H1640" s="805" t="str">
        <f>'[3]Plan Tron'!E477</f>
        <v xml:space="preserve">UN </v>
      </c>
      <c r="I1640" s="27">
        <v>4</v>
      </c>
      <c r="J1640" s="9">
        <v>0.81</v>
      </c>
      <c r="K1640" s="9">
        <f>'[3]Plan Tron'!F477</f>
        <v>1.34</v>
      </c>
      <c r="L1640" s="9">
        <v>16.8</v>
      </c>
      <c r="M1640" s="9">
        <f t="shared" si="110"/>
        <v>1.57</v>
      </c>
      <c r="N1640" s="948">
        <v>0</v>
      </c>
      <c r="O1640" s="900">
        <f t="shared" si="112"/>
        <v>4</v>
      </c>
      <c r="P1640" s="901">
        <f t="shared" si="111"/>
        <v>6.28</v>
      </c>
      <c r="Q1640" s="874"/>
      <c r="R1640" s="874"/>
      <c r="S1640" s="841"/>
      <c r="T1640" s="854"/>
    </row>
    <row r="1641" spans="1:20" s="610" customFormat="1">
      <c r="A1641" s="915"/>
      <c r="B1641" s="919"/>
      <c r="C1641" s="913" t="s">
        <v>2455</v>
      </c>
      <c r="D1641" s="49" t="s">
        <v>203</v>
      </c>
      <c r="E1641" s="57" t="s">
        <v>1113</v>
      </c>
      <c r="F1641" s="50"/>
      <c r="G1641" s="12" t="s">
        <v>1835</v>
      </c>
      <c r="H1641" s="18" t="s">
        <v>183</v>
      </c>
      <c r="I1641" s="36">
        <v>1</v>
      </c>
      <c r="J1641" s="9">
        <v>32.46</v>
      </c>
      <c r="K1641" s="9">
        <f>J1641*$S$3</f>
        <v>42.522600000000004</v>
      </c>
      <c r="L1641" s="9">
        <v>16.8</v>
      </c>
      <c r="M1641" s="9">
        <f t="shared" si="110"/>
        <v>49.67</v>
      </c>
      <c r="N1641" s="948">
        <v>0</v>
      </c>
      <c r="O1641" s="900">
        <f t="shared" si="112"/>
        <v>1</v>
      </c>
      <c r="P1641" s="901">
        <f t="shared" si="111"/>
        <v>49.67</v>
      </c>
      <c r="Q1641" s="873"/>
      <c r="R1641" s="873"/>
      <c r="S1641" s="840"/>
      <c r="T1641" s="853"/>
    </row>
    <row r="1642" spans="1:20" s="610" customFormat="1">
      <c r="A1642" s="915"/>
      <c r="B1642" s="919"/>
      <c r="C1642" s="913" t="s">
        <v>2455</v>
      </c>
      <c r="D1642" s="49" t="s">
        <v>297</v>
      </c>
      <c r="E1642" s="57" t="s">
        <v>1121</v>
      </c>
      <c r="F1642" s="50"/>
      <c r="G1642" s="12" t="s">
        <v>1834</v>
      </c>
      <c r="H1642" s="18" t="s">
        <v>183</v>
      </c>
      <c r="I1642" s="36">
        <v>3</v>
      </c>
      <c r="J1642" s="9">
        <v>22.53</v>
      </c>
      <c r="K1642" s="9">
        <f>J1642*$S$3</f>
        <v>29.514300000000002</v>
      </c>
      <c r="L1642" s="9">
        <v>16.8</v>
      </c>
      <c r="M1642" s="9">
        <f t="shared" si="110"/>
        <v>34.47</v>
      </c>
      <c r="N1642" s="948">
        <v>0</v>
      </c>
      <c r="O1642" s="900">
        <f t="shared" si="112"/>
        <v>3</v>
      </c>
      <c r="P1642" s="901">
        <f t="shared" si="111"/>
        <v>103.41</v>
      </c>
      <c r="Q1642" s="873"/>
      <c r="R1642" s="873"/>
      <c r="S1642" s="840"/>
      <c r="T1642" s="853"/>
    </row>
    <row r="1643" spans="1:20" s="344" customFormat="1" ht="25.5">
      <c r="A1643" s="915"/>
      <c r="B1643" s="919"/>
      <c r="C1643" s="913"/>
      <c r="D1643" s="49" t="s">
        <v>296</v>
      </c>
      <c r="E1643" s="805">
        <f>'[3]Plan Tron'!B478</f>
        <v>2593</v>
      </c>
      <c r="F1643" s="805" t="str">
        <f>'[3]Plan Tron'!C478</f>
        <v>SINAPI (INSUMO)</v>
      </c>
      <c r="G1643" s="643" t="str">
        <f>'[3]Plan Tron'!D478</f>
        <v>CONDULETE DE ALUMINIO TIPO LR, PARA ELETRODUTO ROSCAVEL DE 3/4", COM TAMPA CEGA</v>
      </c>
      <c r="H1643" s="805" t="str">
        <f>'[3]Plan Tron'!E478</f>
        <v xml:space="preserve">UN </v>
      </c>
      <c r="I1643" s="36">
        <v>1</v>
      </c>
      <c r="J1643" s="9">
        <v>4.93</v>
      </c>
      <c r="K1643" s="9">
        <f>'[3]Plan Tron'!F478</f>
        <v>6.01</v>
      </c>
      <c r="L1643" s="9">
        <v>16.8</v>
      </c>
      <c r="M1643" s="9">
        <f t="shared" si="110"/>
        <v>7.02</v>
      </c>
      <c r="N1643" s="948">
        <v>0</v>
      </c>
      <c r="O1643" s="900">
        <f t="shared" si="112"/>
        <v>1</v>
      </c>
      <c r="P1643" s="901">
        <f t="shared" si="111"/>
        <v>7.02</v>
      </c>
      <c r="Q1643" s="874"/>
      <c r="R1643" s="874"/>
      <c r="S1643" s="841"/>
      <c r="T1643" s="854"/>
    </row>
    <row r="1644" spans="1:20">
      <c r="D1644" s="49" t="s">
        <v>18</v>
      </c>
      <c r="E1644" s="57"/>
      <c r="F1644" s="50"/>
      <c r="G1644" s="12" t="s">
        <v>1419</v>
      </c>
      <c r="H1644" s="18"/>
      <c r="I1644" s="36"/>
      <c r="J1644" s="9"/>
      <c r="K1644" s="9"/>
      <c r="L1644" s="9"/>
      <c r="M1644" s="9"/>
      <c r="N1644" s="948"/>
      <c r="O1644" s="900"/>
      <c r="P1644" s="901"/>
      <c r="Q1644" s="874"/>
      <c r="R1644" s="874"/>
      <c r="S1644" s="841"/>
      <c r="T1644" s="854"/>
    </row>
    <row r="1645" spans="1:20" s="610" customFormat="1">
      <c r="A1645" s="915"/>
      <c r="B1645" s="919"/>
      <c r="C1645" s="913" t="s">
        <v>2455</v>
      </c>
      <c r="D1645" s="49" t="s">
        <v>201</v>
      </c>
      <c r="E1645" s="57" t="s">
        <v>1100</v>
      </c>
      <c r="F1645" s="50"/>
      <c r="G1645" s="12" t="s">
        <v>1172</v>
      </c>
      <c r="H1645" s="18" t="s">
        <v>1260</v>
      </c>
      <c r="I1645" s="36">
        <v>2</v>
      </c>
      <c r="J1645" s="9">
        <v>38.85</v>
      </c>
      <c r="K1645" s="9">
        <f t="shared" ref="K1645:K1650" si="113">J1645*$S$3</f>
        <v>50.893500000000003</v>
      </c>
      <c r="L1645" s="9">
        <v>16.8</v>
      </c>
      <c r="M1645" s="9">
        <f t="shared" si="110"/>
        <v>59.44</v>
      </c>
      <c r="N1645" s="948">
        <v>0</v>
      </c>
      <c r="O1645" s="900">
        <f t="shared" si="112"/>
        <v>2</v>
      </c>
      <c r="P1645" s="901">
        <f t="shared" si="111"/>
        <v>118.88</v>
      </c>
      <c r="Q1645" s="873"/>
      <c r="R1645" s="873"/>
      <c r="S1645" s="840"/>
      <c r="T1645" s="853"/>
    </row>
    <row r="1646" spans="1:20" s="610" customFormat="1">
      <c r="A1646" s="915"/>
      <c r="B1646" s="919"/>
      <c r="C1646" s="913" t="s">
        <v>2455</v>
      </c>
      <c r="D1646" s="49" t="s">
        <v>198</v>
      </c>
      <c r="E1646" s="345" t="s">
        <v>1098</v>
      </c>
      <c r="F1646" s="11"/>
      <c r="G1646" s="12" t="s">
        <v>1099</v>
      </c>
      <c r="H1646" s="7" t="s">
        <v>158</v>
      </c>
      <c r="I1646" s="27">
        <v>2</v>
      </c>
      <c r="J1646" s="9">
        <v>2.2999999999999998</v>
      </c>
      <c r="K1646" s="9">
        <f t="shared" si="113"/>
        <v>3.0129999999999999</v>
      </c>
      <c r="L1646" s="9">
        <v>16.8</v>
      </c>
      <c r="M1646" s="9">
        <f t="shared" si="110"/>
        <v>3.52</v>
      </c>
      <c r="N1646" s="948">
        <v>0</v>
      </c>
      <c r="O1646" s="900">
        <f t="shared" si="112"/>
        <v>2</v>
      </c>
      <c r="P1646" s="901">
        <f t="shared" si="111"/>
        <v>7.04</v>
      </c>
      <c r="Q1646" s="873"/>
      <c r="R1646" s="873"/>
      <c r="S1646" s="840"/>
      <c r="T1646" s="853"/>
    </row>
    <row r="1647" spans="1:20" s="610" customFormat="1">
      <c r="A1647" s="915"/>
      <c r="B1647" s="919"/>
      <c r="C1647" s="913" t="s">
        <v>2455</v>
      </c>
      <c r="D1647" s="49" t="s">
        <v>390</v>
      </c>
      <c r="E1647" s="805" t="s">
        <v>1096</v>
      </c>
      <c r="F1647" s="195"/>
      <c r="G1647" s="12" t="s">
        <v>1833</v>
      </c>
      <c r="H1647" s="18" t="s">
        <v>158</v>
      </c>
      <c r="I1647" s="36">
        <v>2</v>
      </c>
      <c r="J1647" s="9">
        <v>0.9</v>
      </c>
      <c r="K1647" s="9">
        <f t="shared" si="113"/>
        <v>1.179</v>
      </c>
      <c r="L1647" s="9">
        <v>16.8</v>
      </c>
      <c r="M1647" s="9">
        <f t="shared" si="110"/>
        <v>1.38</v>
      </c>
      <c r="N1647" s="948">
        <v>0</v>
      </c>
      <c r="O1647" s="900">
        <f t="shared" si="112"/>
        <v>2</v>
      </c>
      <c r="P1647" s="901">
        <f t="shared" si="111"/>
        <v>2.76</v>
      </c>
      <c r="Q1647" s="873"/>
      <c r="R1647" s="873"/>
      <c r="S1647" s="840"/>
      <c r="T1647" s="853"/>
    </row>
    <row r="1648" spans="1:20" s="610" customFormat="1">
      <c r="A1648" s="915"/>
      <c r="B1648" s="919"/>
      <c r="C1648" s="913" t="s">
        <v>2455</v>
      </c>
      <c r="D1648" s="49" t="s">
        <v>387</v>
      </c>
      <c r="E1648" s="805" t="s">
        <v>1088</v>
      </c>
      <c r="F1648" s="195"/>
      <c r="G1648" s="12" t="s">
        <v>1764</v>
      </c>
      <c r="H1648" s="18" t="s">
        <v>158</v>
      </c>
      <c r="I1648" s="36">
        <v>1</v>
      </c>
      <c r="J1648" s="9">
        <v>1.25</v>
      </c>
      <c r="K1648" s="9">
        <f t="shared" si="113"/>
        <v>1.6375000000000002</v>
      </c>
      <c r="L1648" s="9">
        <v>16.8</v>
      </c>
      <c r="M1648" s="9">
        <f t="shared" si="110"/>
        <v>1.91</v>
      </c>
      <c r="N1648" s="948">
        <v>0</v>
      </c>
      <c r="O1648" s="900">
        <f t="shared" si="112"/>
        <v>1</v>
      </c>
      <c r="P1648" s="901">
        <f t="shared" si="111"/>
        <v>1.91</v>
      </c>
      <c r="Q1648" s="873"/>
      <c r="R1648" s="873"/>
      <c r="S1648" s="840"/>
      <c r="T1648" s="853"/>
    </row>
    <row r="1649" spans="1:20" s="610" customFormat="1">
      <c r="A1649" s="915"/>
      <c r="B1649" s="919"/>
      <c r="C1649" s="913" t="s">
        <v>2455</v>
      </c>
      <c r="D1649" s="49" t="s">
        <v>384</v>
      </c>
      <c r="E1649" s="805" t="s">
        <v>1092</v>
      </c>
      <c r="F1649" s="195"/>
      <c r="G1649" s="12" t="s">
        <v>1093</v>
      </c>
      <c r="H1649" s="7" t="s">
        <v>158</v>
      </c>
      <c r="I1649" s="27">
        <v>4</v>
      </c>
      <c r="J1649" s="9">
        <v>0.96</v>
      </c>
      <c r="K1649" s="9">
        <f t="shared" si="113"/>
        <v>1.2576000000000001</v>
      </c>
      <c r="L1649" s="9">
        <v>16.8</v>
      </c>
      <c r="M1649" s="9">
        <f t="shared" si="110"/>
        <v>1.47</v>
      </c>
      <c r="N1649" s="948">
        <v>0</v>
      </c>
      <c r="O1649" s="900">
        <f t="shared" si="112"/>
        <v>4</v>
      </c>
      <c r="P1649" s="901">
        <f t="shared" si="111"/>
        <v>5.88</v>
      </c>
      <c r="Q1649" s="873"/>
      <c r="R1649" s="873"/>
      <c r="S1649" s="840"/>
      <c r="T1649" s="853"/>
    </row>
    <row r="1650" spans="1:20" s="610" customFormat="1">
      <c r="A1650" s="915"/>
      <c r="B1650" s="919"/>
      <c r="C1650" s="913" t="s">
        <v>2455</v>
      </c>
      <c r="D1650" s="49" t="s">
        <v>381</v>
      </c>
      <c r="E1650" s="805" t="s">
        <v>1831</v>
      </c>
      <c r="F1650" s="195"/>
      <c r="G1650" s="12" t="s">
        <v>1832</v>
      </c>
      <c r="H1650" s="18" t="s">
        <v>158</v>
      </c>
      <c r="I1650" s="36">
        <v>2</v>
      </c>
      <c r="J1650" s="9">
        <v>35.9</v>
      </c>
      <c r="K1650" s="9">
        <f t="shared" si="113"/>
        <v>47.029000000000003</v>
      </c>
      <c r="L1650" s="9">
        <v>16.8</v>
      </c>
      <c r="M1650" s="9">
        <f t="shared" si="110"/>
        <v>54.93</v>
      </c>
      <c r="N1650" s="948">
        <v>0</v>
      </c>
      <c r="O1650" s="900">
        <f t="shared" si="112"/>
        <v>2</v>
      </c>
      <c r="P1650" s="901">
        <f t="shared" si="111"/>
        <v>109.86</v>
      </c>
      <c r="Q1650" s="873"/>
      <c r="R1650" s="873"/>
      <c r="S1650" s="840"/>
      <c r="T1650" s="853"/>
    </row>
    <row r="1651" spans="1:20">
      <c r="D1651" s="49" t="s">
        <v>17</v>
      </c>
      <c r="E1651" s="805"/>
      <c r="F1651" s="195"/>
      <c r="G1651" s="12" t="s">
        <v>440</v>
      </c>
      <c r="H1651" s="18"/>
      <c r="I1651" s="36"/>
      <c r="J1651" s="9"/>
      <c r="K1651" s="9"/>
      <c r="L1651" s="9"/>
      <c r="M1651" s="9"/>
      <c r="N1651" s="948"/>
      <c r="O1651" s="900"/>
      <c r="P1651" s="901"/>
      <c r="Q1651" s="874"/>
      <c r="R1651" s="874"/>
      <c r="S1651" s="841"/>
      <c r="T1651" s="854"/>
    </row>
    <row r="1652" spans="1:20">
      <c r="D1652" s="49"/>
      <c r="E1652" s="805"/>
      <c r="F1652" s="195"/>
      <c r="G1652" s="12"/>
      <c r="H1652" s="18"/>
      <c r="I1652" s="36"/>
      <c r="J1652" s="9"/>
      <c r="K1652" s="9"/>
      <c r="L1652" s="9"/>
      <c r="M1652" s="9"/>
      <c r="N1652" s="948"/>
      <c r="O1652" s="900"/>
      <c r="P1652" s="901"/>
      <c r="Q1652" s="874"/>
      <c r="R1652" s="874"/>
      <c r="S1652" s="841"/>
      <c r="T1652" s="854"/>
    </row>
    <row r="1653" spans="1:20">
      <c r="D1653" s="49"/>
      <c r="E1653" s="805"/>
      <c r="F1653" s="195"/>
      <c r="G1653" s="12"/>
      <c r="H1653" s="18"/>
      <c r="I1653" s="36"/>
      <c r="J1653" s="9"/>
      <c r="K1653" s="9"/>
      <c r="L1653" s="9"/>
      <c r="M1653" s="9"/>
      <c r="N1653" s="948"/>
      <c r="O1653" s="900"/>
      <c r="P1653" s="901"/>
      <c r="Q1653" s="874"/>
      <c r="R1653" s="874"/>
      <c r="S1653" s="841"/>
      <c r="T1653" s="854"/>
    </row>
    <row r="1654" spans="1:20" s="610" customFormat="1" ht="38.25">
      <c r="A1654" s="915"/>
      <c r="B1654" s="919"/>
      <c r="C1654" s="913" t="s">
        <v>2455</v>
      </c>
      <c r="D1654" s="49" t="s">
        <v>195</v>
      </c>
      <c r="E1654" s="805" t="s">
        <v>1105</v>
      </c>
      <c r="F1654" s="195"/>
      <c r="G1654" s="64" t="s">
        <v>1106</v>
      </c>
      <c r="H1654" s="18" t="s">
        <v>183</v>
      </c>
      <c r="I1654" s="36">
        <v>2</v>
      </c>
      <c r="J1654" s="9">
        <v>185.81</v>
      </c>
      <c r="K1654" s="9">
        <f>J1654*$S$3</f>
        <v>243.4111</v>
      </c>
      <c r="L1654" s="9">
        <v>16.8</v>
      </c>
      <c r="M1654" s="9">
        <f t="shared" si="110"/>
        <v>284.3</v>
      </c>
      <c r="N1654" s="948">
        <v>0</v>
      </c>
      <c r="O1654" s="900">
        <f t="shared" si="112"/>
        <v>2</v>
      </c>
      <c r="P1654" s="901">
        <f t="shared" si="111"/>
        <v>568.6</v>
      </c>
      <c r="Q1654" s="873"/>
      <c r="R1654" s="873"/>
      <c r="S1654" s="840"/>
      <c r="T1654" s="853"/>
    </row>
    <row r="1655" spans="1:20" s="610" customFormat="1" ht="38.25">
      <c r="A1655" s="915"/>
      <c r="B1655" s="919"/>
      <c r="C1655" s="913" t="s">
        <v>2455</v>
      </c>
      <c r="D1655" s="49" t="s">
        <v>192</v>
      </c>
      <c r="E1655" s="345" t="s">
        <v>1107</v>
      </c>
      <c r="F1655" s="11"/>
      <c r="G1655" s="12" t="s">
        <v>1108</v>
      </c>
      <c r="H1655" s="7" t="s">
        <v>326</v>
      </c>
      <c r="I1655" s="27">
        <v>1</v>
      </c>
      <c r="J1655" s="9">
        <v>350</v>
      </c>
      <c r="K1655" s="9">
        <f>J1655*$S$3</f>
        <v>458.5</v>
      </c>
      <c r="L1655" s="9">
        <v>16.8</v>
      </c>
      <c r="M1655" s="9">
        <f t="shared" si="110"/>
        <v>535.53</v>
      </c>
      <c r="N1655" s="948">
        <v>0</v>
      </c>
      <c r="O1655" s="900">
        <f t="shared" si="112"/>
        <v>1</v>
      </c>
      <c r="P1655" s="901">
        <f t="shared" si="111"/>
        <v>535.53</v>
      </c>
      <c r="Q1655" s="873"/>
      <c r="R1655" s="873"/>
      <c r="S1655" s="840"/>
      <c r="T1655" s="853"/>
    </row>
    <row r="1656" spans="1:20">
      <c r="D1656" s="49" t="s">
        <v>16</v>
      </c>
      <c r="E1656" s="57"/>
      <c r="F1656" s="50"/>
      <c r="G1656" s="12" t="s">
        <v>1042</v>
      </c>
      <c r="H1656" s="18"/>
      <c r="I1656" s="36"/>
      <c r="J1656" s="9"/>
      <c r="K1656" s="9"/>
      <c r="L1656" s="9"/>
      <c r="M1656" s="9"/>
      <c r="N1656" s="948"/>
      <c r="O1656" s="900"/>
      <c r="P1656" s="901"/>
      <c r="Q1656" s="874"/>
      <c r="R1656" s="874"/>
      <c r="S1656" s="841"/>
      <c r="T1656" s="854"/>
    </row>
    <row r="1657" spans="1:20" s="610" customFormat="1">
      <c r="A1657" s="915"/>
      <c r="B1657" s="919"/>
      <c r="C1657" s="913" t="s">
        <v>2455</v>
      </c>
      <c r="D1657" s="49" t="s">
        <v>270</v>
      </c>
      <c r="E1657" s="57" t="s">
        <v>1063</v>
      </c>
      <c r="F1657" s="50"/>
      <c r="G1657" s="12" t="s">
        <v>1064</v>
      </c>
      <c r="H1657" s="18" t="s">
        <v>110</v>
      </c>
      <c r="I1657" s="36">
        <v>55</v>
      </c>
      <c r="J1657" s="9">
        <v>6.2</v>
      </c>
      <c r="K1657" s="9">
        <f>J1657*$S$3</f>
        <v>8.1219999999999999</v>
      </c>
      <c r="L1657" s="9">
        <v>16.8</v>
      </c>
      <c r="M1657" s="9">
        <f t="shared" si="110"/>
        <v>9.49</v>
      </c>
      <c r="N1657" s="948">
        <v>0</v>
      </c>
      <c r="O1657" s="900">
        <f t="shared" si="112"/>
        <v>55</v>
      </c>
      <c r="P1657" s="901">
        <f t="shared" si="111"/>
        <v>521.95000000000005</v>
      </c>
      <c r="Q1657" s="873"/>
      <c r="R1657" s="873"/>
      <c r="S1657" s="840"/>
      <c r="T1657" s="853"/>
    </row>
    <row r="1658" spans="1:20" s="344" customFormat="1" ht="25.5">
      <c r="A1658" s="915"/>
      <c r="B1658" s="919"/>
      <c r="C1658" s="913"/>
      <c r="D1658" s="49" t="s">
        <v>369</v>
      </c>
      <c r="E1658" s="805">
        <f>'[3]Plan Tron'!B479</f>
        <v>7572</v>
      </c>
      <c r="F1658" s="805" t="str">
        <f>'[3]Plan Tron'!C479</f>
        <v>SINAPI (INSUMO)</v>
      </c>
      <c r="G1658" s="643" t="str">
        <f>'[3]Plan Tron'!D479</f>
        <v>SUPORTE ISOLADOR REFORCADO DIAMETRO NOMINAL 5/16", COM ROSCA SOBERBA E BUCHA</v>
      </c>
      <c r="H1658" s="805" t="str">
        <f>'[3]Plan Tron'!E479</f>
        <v xml:space="preserve">UN </v>
      </c>
      <c r="I1658" s="27">
        <v>24</v>
      </c>
      <c r="J1658" s="9">
        <v>5.18</v>
      </c>
      <c r="K1658" s="9">
        <f>'[3]Plan Tron'!F479</f>
        <v>5.37</v>
      </c>
      <c r="L1658" s="9">
        <v>16.8</v>
      </c>
      <c r="M1658" s="9">
        <f t="shared" si="110"/>
        <v>6.27</v>
      </c>
      <c r="N1658" s="948">
        <v>0</v>
      </c>
      <c r="O1658" s="900">
        <f t="shared" si="112"/>
        <v>24</v>
      </c>
      <c r="P1658" s="901">
        <f t="shared" si="111"/>
        <v>150.47999999999999</v>
      </c>
      <c r="Q1658" s="874"/>
      <c r="R1658" s="874"/>
      <c r="S1658" s="841"/>
      <c r="T1658" s="854"/>
    </row>
    <row r="1659" spans="1:20" s="344" customFormat="1" ht="25.5">
      <c r="A1659" s="915"/>
      <c r="B1659" s="919"/>
      <c r="C1659" s="913"/>
      <c r="D1659" s="49" t="s">
        <v>367</v>
      </c>
      <c r="E1659" s="805">
        <f>'[3]Plan Tron'!B480</f>
        <v>3396</v>
      </c>
      <c r="F1659" s="805" t="str">
        <f>'[3]Plan Tron'!C480</f>
        <v>SINAPI (INSUMO)</v>
      </c>
      <c r="G1659" s="643" t="str">
        <f>'[3]Plan Tron'!D480</f>
        <v xml:space="preserve">SUPORTE ISOLADOR SIMPLES DIAMETRO NOMINAL 5/16", COM ROSCA SOBERBA E BUCHA </v>
      </c>
      <c r="H1659" s="805" t="str">
        <f>'[3]Plan Tron'!E480</f>
        <v xml:space="preserve">UN </v>
      </c>
      <c r="I1659" s="36">
        <v>20</v>
      </c>
      <c r="J1659" s="9">
        <v>2.19</v>
      </c>
      <c r="K1659" s="9">
        <f>'[3]Plan Tron'!F480</f>
        <v>3.8</v>
      </c>
      <c r="L1659" s="9">
        <v>16.8</v>
      </c>
      <c r="M1659" s="9">
        <f t="shared" si="110"/>
        <v>4.4400000000000004</v>
      </c>
      <c r="N1659" s="948">
        <v>0</v>
      </c>
      <c r="O1659" s="900">
        <f t="shared" si="112"/>
        <v>20</v>
      </c>
      <c r="P1659" s="901">
        <f t="shared" si="111"/>
        <v>88.8</v>
      </c>
      <c r="Q1659" s="874"/>
      <c r="R1659" s="874"/>
      <c r="S1659" s="841"/>
      <c r="T1659" s="854"/>
    </row>
    <row r="1660" spans="1:20" s="344" customFormat="1" ht="25.5">
      <c r="A1660" s="915"/>
      <c r="B1660" s="919"/>
      <c r="C1660" s="913"/>
      <c r="D1660" s="49" t="s">
        <v>365</v>
      </c>
      <c r="E1660" s="805">
        <f>'[3]Plan Tron'!B481</f>
        <v>11864</v>
      </c>
      <c r="F1660" s="805" t="str">
        <f>'[3]Plan Tron'!C481</f>
        <v>SINAPI (INSUMO)</v>
      </c>
      <c r="G1660" s="643" t="str">
        <f>'[3]Plan Tron'!D481</f>
        <v xml:space="preserve">CONECTOR METALICO TIPO PARAFUSO FENDIDO (SPLIT BOLT), PARA CABOS ATE 95 MM2 </v>
      </c>
      <c r="H1660" s="805" t="str">
        <f>'[3]Plan Tron'!E481</f>
        <v xml:space="preserve">UN </v>
      </c>
      <c r="I1660" s="36">
        <v>14</v>
      </c>
      <c r="J1660" s="9">
        <v>9.8699999999999992</v>
      </c>
      <c r="K1660" s="9">
        <f>'[3]Plan Tron'!F481</f>
        <v>12.31</v>
      </c>
      <c r="L1660" s="9">
        <v>16.8</v>
      </c>
      <c r="M1660" s="9">
        <f t="shared" si="110"/>
        <v>14.38</v>
      </c>
      <c r="N1660" s="948">
        <v>0</v>
      </c>
      <c r="O1660" s="900">
        <f t="shared" si="112"/>
        <v>14</v>
      </c>
      <c r="P1660" s="901">
        <f t="shared" si="111"/>
        <v>201.32</v>
      </c>
      <c r="Q1660" s="874"/>
      <c r="R1660" s="874"/>
      <c r="S1660" s="841"/>
      <c r="T1660" s="854"/>
    </row>
    <row r="1661" spans="1:20" s="610" customFormat="1">
      <c r="A1661" s="915"/>
      <c r="B1661" s="919"/>
      <c r="C1661" s="913" t="s">
        <v>2455</v>
      </c>
      <c r="D1661" s="49" t="s">
        <v>1045</v>
      </c>
      <c r="E1661" s="57" t="s">
        <v>268</v>
      </c>
      <c r="F1661" s="50"/>
      <c r="G1661" s="64" t="s">
        <v>1062</v>
      </c>
      <c r="H1661" s="18" t="s">
        <v>1025</v>
      </c>
      <c r="I1661" s="36">
        <v>4</v>
      </c>
      <c r="J1661" s="9">
        <v>29.48</v>
      </c>
      <c r="K1661" s="9">
        <f t="shared" ref="K1661:K1666" si="114">J1661*$S$3</f>
        <v>38.6188</v>
      </c>
      <c r="L1661" s="9">
        <v>16.8</v>
      </c>
      <c r="M1661" s="9">
        <f t="shared" si="110"/>
        <v>45.11</v>
      </c>
      <c r="N1661" s="948">
        <v>0</v>
      </c>
      <c r="O1661" s="900">
        <f t="shared" si="112"/>
        <v>4</v>
      </c>
      <c r="P1661" s="901">
        <f t="shared" si="111"/>
        <v>180.44</v>
      </c>
      <c r="Q1661" s="873"/>
      <c r="R1661" s="873"/>
      <c r="S1661" s="840"/>
      <c r="T1661" s="853"/>
    </row>
    <row r="1662" spans="1:20" s="610" customFormat="1" ht="25.5">
      <c r="A1662" s="915"/>
      <c r="B1662" s="919"/>
      <c r="C1662" s="913" t="s">
        <v>2455</v>
      </c>
      <c r="D1662" s="49" t="s">
        <v>1043</v>
      </c>
      <c r="E1662" s="57" t="s">
        <v>193</v>
      </c>
      <c r="F1662" s="50"/>
      <c r="G1662" s="12" t="s">
        <v>194</v>
      </c>
      <c r="H1662" s="7" t="s">
        <v>158</v>
      </c>
      <c r="I1662" s="27">
        <v>1</v>
      </c>
      <c r="J1662" s="9">
        <v>180</v>
      </c>
      <c r="K1662" s="9">
        <f t="shared" si="114"/>
        <v>235.8</v>
      </c>
      <c r="L1662" s="9">
        <v>16.8</v>
      </c>
      <c r="M1662" s="9">
        <f t="shared" si="110"/>
        <v>275.41000000000003</v>
      </c>
      <c r="N1662" s="948">
        <v>0</v>
      </c>
      <c r="O1662" s="900">
        <f t="shared" si="112"/>
        <v>1</v>
      </c>
      <c r="P1662" s="901">
        <f t="shared" si="111"/>
        <v>275.41000000000003</v>
      </c>
      <c r="Q1662" s="873"/>
      <c r="R1662" s="873"/>
      <c r="S1662" s="840"/>
      <c r="T1662" s="853"/>
    </row>
    <row r="1663" spans="1:20" s="610" customFormat="1">
      <c r="A1663" s="915"/>
      <c r="B1663" s="919"/>
      <c r="C1663" s="913" t="s">
        <v>2455</v>
      </c>
      <c r="D1663" s="49" t="s">
        <v>1090</v>
      </c>
      <c r="E1663" s="805" t="s">
        <v>190</v>
      </c>
      <c r="F1663" s="195"/>
      <c r="G1663" s="12" t="s">
        <v>191</v>
      </c>
      <c r="H1663" s="24" t="s">
        <v>158</v>
      </c>
      <c r="I1663" s="21">
        <v>8</v>
      </c>
      <c r="J1663" s="9">
        <v>17.5</v>
      </c>
      <c r="K1663" s="9">
        <f t="shared" si="114"/>
        <v>22.925000000000001</v>
      </c>
      <c r="L1663" s="9">
        <v>16.8</v>
      </c>
      <c r="M1663" s="9">
        <f t="shared" si="110"/>
        <v>26.78</v>
      </c>
      <c r="N1663" s="948">
        <v>0</v>
      </c>
      <c r="O1663" s="900">
        <f t="shared" si="112"/>
        <v>8</v>
      </c>
      <c r="P1663" s="901">
        <f t="shared" si="111"/>
        <v>214.24</v>
      </c>
      <c r="Q1663" s="873"/>
      <c r="R1663" s="873"/>
      <c r="S1663" s="840"/>
      <c r="T1663" s="853"/>
    </row>
    <row r="1664" spans="1:20" s="610" customFormat="1">
      <c r="A1664" s="915"/>
      <c r="B1664" s="919"/>
      <c r="C1664" s="913" t="s">
        <v>2455</v>
      </c>
      <c r="D1664" s="49" t="s">
        <v>1087</v>
      </c>
      <c r="E1664" s="57" t="s">
        <v>1060</v>
      </c>
      <c r="F1664" s="50"/>
      <c r="G1664" s="12" t="s">
        <v>1061</v>
      </c>
      <c r="H1664" s="24" t="s">
        <v>158</v>
      </c>
      <c r="I1664" s="21">
        <v>4</v>
      </c>
      <c r="J1664" s="9">
        <v>24.82</v>
      </c>
      <c r="K1664" s="9">
        <f t="shared" si="114"/>
        <v>32.514200000000002</v>
      </c>
      <c r="L1664" s="9">
        <v>16.8</v>
      </c>
      <c r="M1664" s="9">
        <f t="shared" si="110"/>
        <v>37.979999999999997</v>
      </c>
      <c r="N1664" s="948">
        <v>0</v>
      </c>
      <c r="O1664" s="900">
        <f t="shared" si="112"/>
        <v>4</v>
      </c>
      <c r="P1664" s="901">
        <f t="shared" si="111"/>
        <v>151.91999999999999</v>
      </c>
      <c r="Q1664" s="873"/>
      <c r="R1664" s="873"/>
      <c r="S1664" s="840"/>
      <c r="T1664" s="853"/>
    </row>
    <row r="1665" spans="1:20" s="610" customFormat="1">
      <c r="A1665" s="915"/>
      <c r="B1665" s="919"/>
      <c r="C1665" s="913" t="s">
        <v>2455</v>
      </c>
      <c r="D1665" s="49" t="s">
        <v>1084</v>
      </c>
      <c r="E1665" s="805" t="s">
        <v>1058</v>
      </c>
      <c r="F1665" s="195"/>
      <c r="G1665" s="12" t="s">
        <v>1059</v>
      </c>
      <c r="H1665" s="18" t="s">
        <v>158</v>
      </c>
      <c r="I1665" s="36">
        <v>4</v>
      </c>
      <c r="J1665" s="9">
        <v>10.6</v>
      </c>
      <c r="K1665" s="9">
        <f t="shared" si="114"/>
        <v>13.885999999999999</v>
      </c>
      <c r="L1665" s="9">
        <v>16.8</v>
      </c>
      <c r="M1665" s="9">
        <f t="shared" si="110"/>
        <v>16.22</v>
      </c>
      <c r="N1665" s="948">
        <v>0</v>
      </c>
      <c r="O1665" s="900">
        <f t="shared" si="112"/>
        <v>4</v>
      </c>
      <c r="P1665" s="901">
        <f t="shared" si="111"/>
        <v>64.88</v>
      </c>
      <c r="Q1665" s="873"/>
      <c r="R1665" s="873"/>
      <c r="S1665" s="840"/>
      <c r="T1665" s="853"/>
    </row>
    <row r="1666" spans="1:20" s="610" customFormat="1">
      <c r="A1666" s="915"/>
      <c r="B1666" s="919"/>
      <c r="C1666" s="913" t="s">
        <v>2455</v>
      </c>
      <c r="D1666" s="49" t="s">
        <v>1168</v>
      </c>
      <c r="E1666" s="805" t="s">
        <v>1056</v>
      </c>
      <c r="F1666" s="195"/>
      <c r="G1666" s="12" t="s">
        <v>1057</v>
      </c>
      <c r="H1666" s="7" t="s">
        <v>158</v>
      </c>
      <c r="I1666" s="27">
        <v>8</v>
      </c>
      <c r="J1666" s="9">
        <v>22.3</v>
      </c>
      <c r="K1666" s="9">
        <f t="shared" si="114"/>
        <v>29.213000000000001</v>
      </c>
      <c r="L1666" s="9">
        <v>16.8</v>
      </c>
      <c r="M1666" s="9">
        <f t="shared" si="110"/>
        <v>34.119999999999997</v>
      </c>
      <c r="N1666" s="948">
        <v>0</v>
      </c>
      <c r="O1666" s="900">
        <f t="shared" si="112"/>
        <v>8</v>
      </c>
      <c r="P1666" s="901">
        <f t="shared" si="111"/>
        <v>272.95999999999998</v>
      </c>
      <c r="Q1666" s="873"/>
      <c r="R1666" s="873"/>
      <c r="S1666" s="840"/>
      <c r="T1666" s="853"/>
    </row>
    <row r="1667" spans="1:20">
      <c r="D1667" s="49"/>
      <c r="E1667" s="57"/>
      <c r="F1667" s="57"/>
      <c r="G1667" s="12"/>
      <c r="H1667" s="7"/>
      <c r="I1667" s="27"/>
      <c r="J1667" s="9"/>
      <c r="K1667" s="9"/>
      <c r="L1667" s="9"/>
      <c r="M1667" s="9"/>
      <c r="N1667" s="926"/>
      <c r="O1667" s="900"/>
      <c r="P1667" s="901"/>
      <c r="Q1667" s="874"/>
      <c r="R1667" s="874"/>
      <c r="S1667" s="841"/>
      <c r="T1667" s="854"/>
    </row>
    <row r="1668" spans="1:20">
      <c r="D1668" s="49"/>
      <c r="E1668" s="57"/>
      <c r="F1668" s="57"/>
      <c r="G1668" s="56"/>
      <c r="H1668" s="18"/>
      <c r="I1668" s="36"/>
      <c r="J1668" s="20"/>
      <c r="K1668" s="20"/>
      <c r="L1668" s="20"/>
      <c r="M1668" s="9"/>
      <c r="N1668" s="936"/>
      <c r="O1668" s="900"/>
      <c r="P1668" s="901"/>
      <c r="Q1668" s="874"/>
      <c r="R1668" s="874"/>
      <c r="S1668" s="841"/>
      <c r="T1668" s="854"/>
    </row>
    <row r="1669" spans="1:20" s="299" customFormat="1">
      <c r="A1669" s="918"/>
      <c r="B1669" s="922"/>
      <c r="C1669" s="924"/>
      <c r="D1669" s="929"/>
      <c r="E1669" s="930"/>
      <c r="F1669" s="929"/>
      <c r="G1669" s="930" t="s">
        <v>70</v>
      </c>
      <c r="H1669" s="929">
        <f>D1624</f>
        <v>34</v>
      </c>
      <c r="I1669" s="929"/>
      <c r="J1669" s="929"/>
      <c r="K1669" s="929"/>
      <c r="L1669" s="929"/>
      <c r="M1669" s="9"/>
      <c r="N1669" s="937"/>
      <c r="O1669" s="900"/>
      <c r="P1669" s="901">
        <f>SUM(P1631:P1666)</f>
        <v>46672.060000000005</v>
      </c>
      <c r="Q1669" s="874"/>
      <c r="R1669" s="874"/>
      <c r="S1669" s="841"/>
      <c r="T1669" s="854"/>
    </row>
    <row r="1670" spans="1:20">
      <c r="D1670" s="44"/>
      <c r="E1670" s="296"/>
      <c r="F1670" s="44"/>
      <c r="G1670" s="44"/>
      <c r="H1670" s="44"/>
      <c r="I1670" s="44"/>
      <c r="J1670" s="302"/>
      <c r="K1670" s="302"/>
      <c r="L1670" s="44"/>
      <c r="M1670" s="9"/>
      <c r="N1670" s="375"/>
      <c r="O1670" s="789"/>
      <c r="P1670" s="863"/>
      <c r="Q1670" s="874"/>
      <c r="R1670" s="874"/>
      <c r="S1670" s="841"/>
      <c r="T1670" s="854"/>
    </row>
    <row r="1671" spans="1:20" s="310" customFormat="1" hidden="1">
      <c r="A1671" s="915"/>
      <c r="B1671" s="919"/>
      <c r="C1671" s="913"/>
      <c r="D1671" s="108">
        <v>36</v>
      </c>
      <c r="E1671" s="813"/>
      <c r="F1671" s="109"/>
      <c r="G1671" s="108" t="s">
        <v>1987</v>
      </c>
      <c r="H1671" s="109"/>
      <c r="I1671" s="109"/>
      <c r="J1671" s="109"/>
      <c r="K1671" s="109"/>
      <c r="L1671" s="109"/>
      <c r="M1671" s="791"/>
      <c r="N1671" s="378"/>
      <c r="O1671" s="792"/>
      <c r="P1671" s="864"/>
      <c r="Q1671" s="872"/>
      <c r="R1671" s="872"/>
      <c r="S1671" s="842"/>
      <c r="T1671" s="852"/>
    </row>
    <row r="1672" spans="1:20" hidden="1">
      <c r="D1672" s="44"/>
      <c r="E1672" s="296"/>
      <c r="F1672" s="44"/>
      <c r="G1672" s="44"/>
      <c r="H1672" s="44"/>
      <c r="I1672" s="44"/>
      <c r="J1672" s="302"/>
      <c r="K1672" s="302"/>
      <c r="L1672" s="44"/>
      <c r="M1672" s="9"/>
      <c r="N1672" s="375"/>
      <c r="O1672" s="789"/>
      <c r="P1672" s="863"/>
      <c r="Q1672" s="874"/>
      <c r="R1672" s="874"/>
      <c r="S1672" s="841"/>
      <c r="T1672" s="854"/>
    </row>
    <row r="1673" spans="1:20" ht="25.5" hidden="1">
      <c r="D1673" s="55"/>
      <c r="E1673" s="56"/>
      <c r="F1673" s="65"/>
      <c r="G1673" s="168" t="s">
        <v>342</v>
      </c>
      <c r="H1673" s="22"/>
      <c r="I1673" s="51"/>
      <c r="J1673" s="316"/>
      <c r="K1673" s="316"/>
      <c r="L1673" s="20"/>
      <c r="M1673" s="9"/>
      <c r="N1673" s="375"/>
      <c r="O1673" s="789"/>
      <c r="P1673" s="863"/>
      <c r="Q1673" s="874"/>
      <c r="R1673" s="874"/>
      <c r="S1673" s="841"/>
      <c r="T1673" s="854"/>
    </row>
    <row r="1674" spans="1:20" hidden="1">
      <c r="D1674" s="55"/>
      <c r="E1674" s="56"/>
      <c r="F1674" s="65"/>
      <c r="G1674" s="168"/>
      <c r="H1674" s="22"/>
      <c r="I1674" s="51"/>
      <c r="J1674" s="316"/>
      <c r="K1674" s="316"/>
      <c r="L1674" s="20"/>
      <c r="M1674" s="9"/>
      <c r="N1674" s="375"/>
      <c r="O1674" s="789"/>
      <c r="P1674" s="863"/>
      <c r="Q1674" s="874"/>
      <c r="R1674" s="874"/>
      <c r="S1674" s="841"/>
      <c r="T1674" s="854"/>
    </row>
    <row r="1675" spans="1:20" hidden="1">
      <c r="D1675" s="59">
        <v>1</v>
      </c>
      <c r="E1675" s="56"/>
      <c r="F1675" s="65"/>
      <c r="G1675" s="168" t="s">
        <v>1849</v>
      </c>
      <c r="H1675" s="22"/>
      <c r="I1675" s="51"/>
      <c r="J1675" s="20"/>
      <c r="K1675" s="20"/>
      <c r="L1675" s="20"/>
      <c r="M1675" s="9"/>
      <c r="N1675" s="375"/>
      <c r="O1675" s="789"/>
      <c r="P1675" s="863"/>
      <c r="Q1675" s="874"/>
      <c r="R1675" s="874"/>
      <c r="S1675" s="841"/>
      <c r="T1675" s="854"/>
    </row>
    <row r="1676" spans="1:20" hidden="1">
      <c r="D1676" s="55" t="s">
        <v>20</v>
      </c>
      <c r="E1676" s="56"/>
      <c r="F1676" s="65"/>
      <c r="G1676" s="61" t="s">
        <v>766</v>
      </c>
      <c r="H1676" s="22"/>
      <c r="I1676" s="51"/>
      <c r="J1676" s="20"/>
      <c r="K1676" s="20"/>
      <c r="L1676" s="20"/>
      <c r="M1676" s="9"/>
      <c r="N1676" s="375"/>
      <c r="O1676" s="789"/>
      <c r="P1676" s="863"/>
      <c r="Q1676" s="874"/>
      <c r="R1676" s="874"/>
      <c r="S1676" s="841"/>
      <c r="T1676" s="854"/>
    </row>
    <row r="1677" spans="1:20" s="892" customFormat="1" ht="38.25" hidden="1">
      <c r="A1677" s="915"/>
      <c r="B1677" s="919"/>
      <c r="C1677" s="913"/>
      <c r="D1677" s="893" t="s">
        <v>153</v>
      </c>
      <c r="E1677" s="906" t="s">
        <v>1847</v>
      </c>
      <c r="F1677" s="912"/>
      <c r="G1677" s="896" t="s">
        <v>1848</v>
      </c>
      <c r="H1677" s="894" t="s">
        <v>326</v>
      </c>
      <c r="I1677" s="895">
        <v>1</v>
      </c>
      <c r="J1677" s="895">
        <v>5940.32</v>
      </c>
      <c r="K1677" s="886">
        <v>4356.45</v>
      </c>
      <c r="L1677" s="895">
        <v>16.8</v>
      </c>
      <c r="M1677" s="886">
        <f t="shared" si="110"/>
        <v>5088.33</v>
      </c>
      <c r="N1677" s="907">
        <v>1</v>
      </c>
      <c r="O1677" s="887">
        <f t="shared" si="112"/>
        <v>0</v>
      </c>
      <c r="P1677" s="888">
        <f t="shared" si="111"/>
        <v>0</v>
      </c>
      <c r="Q1677" s="889"/>
      <c r="R1677" s="889" t="s">
        <v>2450</v>
      </c>
      <c r="S1677" s="890"/>
      <c r="T1677" s="891"/>
    </row>
    <row r="1678" spans="1:20" hidden="1">
      <c r="D1678" s="239" t="s">
        <v>19</v>
      </c>
      <c r="E1678" s="259"/>
      <c r="F1678" s="233"/>
      <c r="G1678" s="113" t="s">
        <v>904</v>
      </c>
      <c r="H1678" s="240"/>
      <c r="I1678" s="242"/>
      <c r="J1678" s="242"/>
      <c r="K1678" s="242"/>
      <c r="L1678" s="242"/>
      <c r="M1678" s="9"/>
      <c r="N1678" s="375"/>
      <c r="O1678" s="789"/>
      <c r="P1678" s="863"/>
      <c r="Q1678" s="874"/>
      <c r="R1678" s="874"/>
      <c r="S1678" s="841"/>
      <c r="T1678" s="854"/>
    </row>
    <row r="1679" spans="1:20" s="344" customFormat="1" ht="25.5" hidden="1">
      <c r="A1679" s="915"/>
      <c r="B1679" s="919"/>
      <c r="C1679" s="913"/>
      <c r="D1679" s="239" t="s">
        <v>147</v>
      </c>
      <c r="E1679" s="805">
        <f>'[3]Plan Tron'!B482</f>
        <v>9841</v>
      </c>
      <c r="F1679" s="805" t="str">
        <f>'[3]Plan Tron'!C482</f>
        <v>SINAPI (INSUMO)</v>
      </c>
      <c r="G1679" s="643" t="str">
        <f>'[3]Plan Tron'!D482</f>
        <v>TUBO PVC, PBV, SERIE R, DN 100 MM, PARA ESGOTO OU AGUAS PLUVIAIS PREDIAL (NBR 5688)</v>
      </c>
      <c r="H1679" s="805" t="str">
        <f>'[3]Plan Tron'!E482</f>
        <v>M</v>
      </c>
      <c r="I1679" s="242">
        <v>65</v>
      </c>
      <c r="J1679" s="242">
        <f>17.56</f>
        <v>17.559999999999999</v>
      </c>
      <c r="K1679" s="242">
        <f>'[3]Plan Tron'!F482</f>
        <v>18.809999999999999</v>
      </c>
      <c r="L1679" s="242">
        <v>16.8</v>
      </c>
      <c r="M1679" s="9">
        <f t="shared" si="110"/>
        <v>21.97</v>
      </c>
      <c r="N1679" s="382">
        <v>65</v>
      </c>
      <c r="O1679" s="789">
        <f t="shared" si="112"/>
        <v>0</v>
      </c>
      <c r="P1679" s="863">
        <f t="shared" si="111"/>
        <v>0</v>
      </c>
      <c r="Q1679" s="874"/>
      <c r="R1679" s="874"/>
      <c r="S1679" s="841"/>
      <c r="T1679" s="854"/>
    </row>
    <row r="1680" spans="1:20" s="344" customFormat="1" ht="25.5" hidden="1">
      <c r="A1680" s="915"/>
      <c r="B1680" s="919"/>
      <c r="C1680" s="913"/>
      <c r="D1680" s="239" t="s">
        <v>213</v>
      </c>
      <c r="E1680" s="805">
        <f>'[3]Plan Tron'!B483</f>
        <v>9840</v>
      </c>
      <c r="F1680" s="805" t="str">
        <f>'[3]Plan Tron'!C483</f>
        <v>SINAPI (INSUMO)</v>
      </c>
      <c r="G1680" s="643" t="str">
        <f>'[3]Plan Tron'!D483</f>
        <v>TUBO PVC, PBV, SERIE R, DN 150 MM, PARA ESGOTO OU AGUAS PLUVIAIS PREDIAL (NBR 5688)</v>
      </c>
      <c r="H1680" s="805" t="str">
        <f>'[3]Plan Tron'!E483</f>
        <v>M</v>
      </c>
      <c r="I1680" s="242">
        <f>4*6</f>
        <v>24</v>
      </c>
      <c r="J1680" s="242">
        <f>41.8</f>
        <v>41.8</v>
      </c>
      <c r="K1680" s="242">
        <f>'[3]Plan Tron'!F483</f>
        <v>39.130000000000003</v>
      </c>
      <c r="L1680" s="242">
        <v>16.8</v>
      </c>
      <c r="M1680" s="9">
        <f t="shared" si="110"/>
        <v>45.7</v>
      </c>
      <c r="N1680" s="382">
        <v>24</v>
      </c>
      <c r="O1680" s="789">
        <f t="shared" si="112"/>
        <v>0</v>
      </c>
      <c r="P1680" s="863">
        <f t="shared" si="111"/>
        <v>0</v>
      </c>
      <c r="Q1680" s="874"/>
      <c r="R1680" s="874"/>
      <c r="S1680" s="841"/>
      <c r="T1680" s="854"/>
    </row>
    <row r="1681" spans="1:20" hidden="1">
      <c r="D1681" s="256"/>
      <c r="E1681" s="834"/>
      <c r="F1681" s="291"/>
      <c r="G1681" s="290"/>
      <c r="H1681" s="286"/>
      <c r="I1681" s="292"/>
      <c r="J1681" s="334"/>
      <c r="K1681" s="334"/>
      <c r="L1681" s="286"/>
      <c r="M1681" s="9"/>
      <c r="N1681" s="375"/>
      <c r="O1681" s="789"/>
      <c r="P1681" s="863"/>
      <c r="Q1681" s="874"/>
      <c r="R1681" s="874"/>
      <c r="S1681" s="841"/>
      <c r="T1681" s="854"/>
    </row>
    <row r="1682" spans="1:20" hidden="1">
      <c r="D1682" s="256"/>
      <c r="E1682" s="293"/>
      <c r="F1682" s="231"/>
      <c r="G1682" s="293"/>
      <c r="H1682" s="291"/>
      <c r="I1682" s="291"/>
      <c r="J1682" s="334"/>
      <c r="K1682" s="334"/>
      <c r="L1682" s="286"/>
      <c r="M1682" s="9"/>
      <c r="N1682" s="380"/>
      <c r="O1682" s="789"/>
      <c r="P1682" s="863"/>
      <c r="Q1682" s="874"/>
      <c r="R1682" s="874"/>
      <c r="S1682" s="841"/>
      <c r="T1682" s="854"/>
    </row>
    <row r="1683" spans="1:20" s="299" customFormat="1" hidden="1">
      <c r="A1683" s="918"/>
      <c r="B1683" s="922"/>
      <c r="C1683" s="924"/>
      <c r="D1683" s="298"/>
      <c r="E1683" s="297"/>
      <c r="F1683" s="298"/>
      <c r="G1683" s="297" t="s">
        <v>70</v>
      </c>
      <c r="H1683" s="298">
        <f>D1671</f>
        <v>36</v>
      </c>
      <c r="I1683" s="298"/>
      <c r="J1683" s="301"/>
      <c r="K1683" s="301"/>
      <c r="L1683" s="298"/>
      <c r="M1683" s="9"/>
      <c r="N1683" s="381"/>
      <c r="O1683" s="789"/>
      <c r="P1683" s="863">
        <f>SUM(P1677:P1680)</f>
        <v>0</v>
      </c>
      <c r="Q1683" s="874"/>
      <c r="R1683" s="874"/>
      <c r="S1683" s="841"/>
      <c r="T1683" s="854"/>
    </row>
    <row r="1684" spans="1:20" hidden="1">
      <c r="D1684" s="44"/>
      <c r="E1684" s="296"/>
      <c r="F1684" s="44"/>
      <c r="G1684" s="44"/>
      <c r="H1684" s="44"/>
      <c r="I1684" s="44"/>
      <c r="J1684" s="302"/>
      <c r="K1684" s="302"/>
      <c r="L1684" s="44"/>
      <c r="M1684" s="9"/>
      <c r="N1684" s="375"/>
      <c r="O1684" s="789"/>
      <c r="P1684" s="863"/>
      <c r="Q1684" s="874"/>
      <c r="R1684" s="874"/>
      <c r="S1684" s="841"/>
      <c r="T1684" s="854"/>
    </row>
    <row r="1685" spans="1:20" s="310" customFormat="1">
      <c r="A1685" s="915"/>
      <c r="B1685" s="919"/>
      <c r="C1685" s="913"/>
      <c r="D1685" s="108">
        <v>38</v>
      </c>
      <c r="E1685" s="813"/>
      <c r="F1685" s="109"/>
      <c r="G1685" s="108" t="s">
        <v>1988</v>
      </c>
      <c r="H1685" s="109"/>
      <c r="I1685" s="109"/>
      <c r="J1685" s="109"/>
      <c r="K1685" s="109"/>
      <c r="L1685" s="109"/>
      <c r="M1685" s="791"/>
      <c r="N1685" s="378"/>
      <c r="O1685" s="792"/>
      <c r="P1685" s="864"/>
      <c r="Q1685" s="872"/>
      <c r="R1685" s="872"/>
      <c r="S1685" s="842"/>
      <c r="T1685" s="852"/>
    </row>
    <row r="1686" spans="1:20">
      <c r="D1686" s="44"/>
      <c r="E1686" s="296"/>
      <c r="F1686" s="44"/>
      <c r="G1686" s="44"/>
      <c r="H1686" s="44"/>
      <c r="I1686" s="44"/>
      <c r="J1686" s="302"/>
      <c r="K1686" s="302"/>
      <c r="L1686" s="44"/>
      <c r="M1686" s="9"/>
      <c r="N1686" s="375"/>
      <c r="O1686" s="789"/>
      <c r="P1686" s="863"/>
      <c r="Q1686" s="874"/>
      <c r="R1686" s="874"/>
      <c r="S1686" s="841"/>
      <c r="T1686" s="854"/>
    </row>
    <row r="1687" spans="1:20" ht="25.5">
      <c r="D1687" s="55"/>
      <c r="E1687" s="56"/>
      <c r="F1687" s="65"/>
      <c r="G1687" s="168" t="s">
        <v>342</v>
      </c>
      <c r="H1687" s="22"/>
      <c r="I1687" s="51"/>
      <c r="J1687" s="316"/>
      <c r="K1687" s="316"/>
      <c r="L1687" s="20"/>
      <c r="M1687" s="9"/>
      <c r="N1687" s="375"/>
      <c r="O1687" s="789"/>
      <c r="P1687" s="863"/>
      <c r="Q1687" s="874"/>
      <c r="R1687" s="874"/>
      <c r="S1687" s="841"/>
      <c r="T1687" s="854"/>
    </row>
    <row r="1688" spans="1:20">
      <c r="D1688" s="55"/>
      <c r="E1688" s="56"/>
      <c r="F1688" s="65"/>
      <c r="G1688" s="168"/>
      <c r="H1688" s="22"/>
      <c r="I1688" s="51"/>
      <c r="J1688" s="316"/>
      <c r="K1688" s="316"/>
      <c r="L1688" s="20"/>
      <c r="M1688" s="9"/>
      <c r="N1688" s="375"/>
      <c r="O1688" s="789"/>
      <c r="P1688" s="863"/>
      <c r="Q1688" s="874"/>
      <c r="R1688" s="874"/>
      <c r="S1688" s="841"/>
      <c r="T1688" s="854"/>
    </row>
    <row r="1689" spans="1:20">
      <c r="D1689" s="59">
        <v>1</v>
      </c>
      <c r="E1689" s="56"/>
      <c r="F1689" s="65"/>
      <c r="G1689" s="168" t="s">
        <v>1861</v>
      </c>
      <c r="H1689" s="22"/>
      <c r="I1689" s="51"/>
      <c r="J1689" s="316"/>
      <c r="K1689" s="316"/>
      <c r="L1689" s="20"/>
      <c r="M1689" s="9"/>
      <c r="N1689" s="375"/>
      <c r="O1689" s="789"/>
      <c r="P1689" s="863"/>
      <c r="Q1689" s="874"/>
      <c r="R1689" s="874"/>
      <c r="S1689" s="841"/>
      <c r="T1689" s="854"/>
    </row>
    <row r="1690" spans="1:20">
      <c r="D1690" s="55" t="s">
        <v>20</v>
      </c>
      <c r="E1690" s="56"/>
      <c r="F1690" s="65"/>
      <c r="G1690" s="61" t="s">
        <v>1310</v>
      </c>
      <c r="H1690" s="22"/>
      <c r="I1690" s="235"/>
      <c r="J1690" s="316"/>
      <c r="K1690" s="316"/>
      <c r="L1690" s="20"/>
      <c r="M1690" s="9"/>
      <c r="N1690" s="375"/>
      <c r="O1690" s="789"/>
      <c r="P1690" s="863"/>
      <c r="Q1690" s="874"/>
      <c r="R1690" s="874"/>
      <c r="S1690" s="841"/>
      <c r="T1690" s="854"/>
    </row>
    <row r="1691" spans="1:20" s="344" customFormat="1" ht="25.5">
      <c r="A1691" s="915"/>
      <c r="B1691" s="919"/>
      <c r="C1691" s="913"/>
      <c r="D1691" s="239" t="s">
        <v>153</v>
      </c>
      <c r="E1691" s="805">
        <f>'[3]Plan Tron'!B484</f>
        <v>9870</v>
      </c>
      <c r="F1691" s="805" t="str">
        <f>'[3]Plan Tron'!C484</f>
        <v>SINAPI (INSUMO)</v>
      </c>
      <c r="G1691" s="643" t="str">
        <f>'[3]Plan Tron'!D484</f>
        <v xml:space="preserve">TUBO PVC, SOLDAVEL, DN 110 MM, AGUA FRIA (NBR-5648) </v>
      </c>
      <c r="H1691" s="805" t="str">
        <f>'[3]Plan Tron'!E484</f>
        <v>M</v>
      </c>
      <c r="I1691" s="235">
        <v>227</v>
      </c>
      <c r="J1691" s="242">
        <f>54.72</f>
        <v>54.72</v>
      </c>
      <c r="K1691" s="242">
        <f>'[3]Plan Tron'!F484</f>
        <v>48.83</v>
      </c>
      <c r="L1691" s="242">
        <v>16.8</v>
      </c>
      <c r="M1691" s="9">
        <f t="shared" ref="M1691:M1729" si="115">ROUND(K1691*(L1691/100+1),2)</f>
        <v>57.03</v>
      </c>
      <c r="N1691" s="382">
        <v>0</v>
      </c>
      <c r="O1691" s="789">
        <f t="shared" si="112"/>
        <v>227</v>
      </c>
      <c r="P1691" s="863">
        <f t="shared" ref="P1691:P1729" si="116">ROUND(O1691*M1691,2)</f>
        <v>12945.81</v>
      </c>
      <c r="Q1691" s="874"/>
      <c r="R1691" s="874"/>
      <c r="S1691" s="841"/>
      <c r="T1691" s="854"/>
    </row>
    <row r="1692" spans="1:20" s="344" customFormat="1" ht="25.5">
      <c r="A1692" s="915"/>
      <c r="B1692" s="919"/>
      <c r="C1692" s="913"/>
      <c r="D1692" s="239" t="s">
        <v>151</v>
      </c>
      <c r="E1692" s="805">
        <f>'[3]Plan Tron'!B485</f>
        <v>9873</v>
      </c>
      <c r="F1692" s="805" t="str">
        <f>'[3]Plan Tron'!C485</f>
        <v>SINAPI (INSUMO)</v>
      </c>
      <c r="G1692" s="643" t="str">
        <f>'[3]Plan Tron'!D485</f>
        <v xml:space="preserve">TUBO PVC, SOLDAVEL, DN 60 MM, AGUA FRIA (NBR-5648) </v>
      </c>
      <c r="H1692" s="805" t="str">
        <f>'[3]Plan Tron'!E485</f>
        <v>M</v>
      </c>
      <c r="I1692" s="235">
        <v>56</v>
      </c>
      <c r="J1692" s="242">
        <f>17.39</f>
        <v>17.39</v>
      </c>
      <c r="K1692" s="242">
        <f>'[3]Plan Tron'!F485</f>
        <v>16.38</v>
      </c>
      <c r="L1692" s="242">
        <v>16.8</v>
      </c>
      <c r="M1692" s="9">
        <f t="shared" si="115"/>
        <v>19.13</v>
      </c>
      <c r="N1692" s="382">
        <v>0</v>
      </c>
      <c r="O1692" s="789">
        <f t="shared" si="112"/>
        <v>56</v>
      </c>
      <c r="P1692" s="863">
        <f t="shared" si="116"/>
        <v>1071.28</v>
      </c>
      <c r="Q1692" s="874"/>
      <c r="R1692" s="874"/>
      <c r="S1692" s="841"/>
      <c r="T1692" s="854"/>
    </row>
    <row r="1693" spans="1:20" s="344" customFormat="1" ht="25.5">
      <c r="A1693" s="915"/>
      <c r="B1693" s="919"/>
      <c r="C1693" s="913"/>
      <c r="D1693" s="239" t="s">
        <v>149</v>
      </c>
      <c r="E1693" s="805">
        <f>'[3]Plan Tron'!B486</f>
        <v>9874</v>
      </c>
      <c r="F1693" s="805" t="str">
        <f>'[3]Plan Tron'!C486</f>
        <v>SINAPI (INSUMO)</v>
      </c>
      <c r="G1693" s="643" t="str">
        <f>'[3]Plan Tron'!D486</f>
        <v xml:space="preserve">TUBO PVC, SOLDAVEL, DN 40 MM, AGUA FRIA (NBR-5648) </v>
      </c>
      <c r="H1693" s="805" t="str">
        <f>'[3]Plan Tron'!E486</f>
        <v>M</v>
      </c>
      <c r="I1693" s="235">
        <v>17</v>
      </c>
      <c r="J1693" s="242">
        <f>7.98</f>
        <v>7.98</v>
      </c>
      <c r="K1693" s="242">
        <f>'[3]Plan Tron'!F486</f>
        <v>8.4700000000000006</v>
      </c>
      <c r="L1693" s="242">
        <v>16.8</v>
      </c>
      <c r="M1693" s="9">
        <f t="shared" si="115"/>
        <v>9.89</v>
      </c>
      <c r="N1693" s="382">
        <v>0</v>
      </c>
      <c r="O1693" s="789">
        <f t="shared" si="112"/>
        <v>17</v>
      </c>
      <c r="P1693" s="863">
        <f t="shared" si="116"/>
        <v>168.13</v>
      </c>
      <c r="Q1693" s="874"/>
      <c r="R1693" s="874"/>
      <c r="S1693" s="841"/>
      <c r="T1693" s="854"/>
    </row>
    <row r="1694" spans="1:20" s="344" customFormat="1" ht="25.5">
      <c r="A1694" s="915"/>
      <c r="B1694" s="919"/>
      <c r="C1694" s="913"/>
      <c r="D1694" s="239" t="s">
        <v>240</v>
      </c>
      <c r="E1694" s="805">
        <f>'[3]Plan Tron'!B487</f>
        <v>9871</v>
      </c>
      <c r="F1694" s="805" t="str">
        <f>'[3]Plan Tron'!C487</f>
        <v>SINAPI (INSUMO)</v>
      </c>
      <c r="G1694" s="643" t="str">
        <f>'[3]Plan Tron'!D487</f>
        <v xml:space="preserve">TUBO PVC, SOLDAVEL, DN 75 MM, AGUA FRIA (NBR-5648) </v>
      </c>
      <c r="H1694" s="805" t="str">
        <f>'[3]Plan Tron'!E487</f>
        <v>M</v>
      </c>
      <c r="I1694" s="235">
        <v>2</v>
      </c>
      <c r="J1694" s="242">
        <v>26.66</v>
      </c>
      <c r="K1694" s="242">
        <f>'[3]Plan Tron'!F487</f>
        <v>22.98</v>
      </c>
      <c r="L1694" s="242">
        <v>16.8</v>
      </c>
      <c r="M1694" s="9">
        <f t="shared" si="115"/>
        <v>26.84</v>
      </c>
      <c r="N1694" s="382">
        <v>0</v>
      </c>
      <c r="O1694" s="789">
        <f t="shared" si="112"/>
        <v>2</v>
      </c>
      <c r="P1694" s="863">
        <f t="shared" si="116"/>
        <v>53.68</v>
      </c>
      <c r="Q1694" s="874"/>
      <c r="R1694" s="874"/>
      <c r="S1694" s="841"/>
      <c r="T1694" s="854"/>
    </row>
    <row r="1695" spans="1:20">
      <c r="D1695" s="239" t="s">
        <v>19</v>
      </c>
      <c r="E1695" s="824"/>
      <c r="F1695" s="243"/>
      <c r="G1695" s="113" t="s">
        <v>1494</v>
      </c>
      <c r="H1695" s="132"/>
      <c r="I1695" s="235"/>
      <c r="J1695" s="334"/>
      <c r="K1695" s="334"/>
      <c r="L1695" s="242"/>
      <c r="M1695" s="9"/>
      <c r="N1695" s="375"/>
      <c r="O1695" s="789"/>
      <c r="P1695" s="863"/>
      <c r="Q1695" s="874"/>
      <c r="R1695" s="874"/>
      <c r="S1695" s="841"/>
      <c r="T1695" s="854"/>
    </row>
    <row r="1696" spans="1:20" s="344" customFormat="1" ht="25.5">
      <c r="A1696" s="915"/>
      <c r="B1696" s="919"/>
      <c r="C1696" s="913"/>
      <c r="D1696" s="239" t="s">
        <v>147</v>
      </c>
      <c r="E1696" s="805">
        <f>'[3]Plan Tron'!B488</f>
        <v>1962</v>
      </c>
      <c r="F1696" s="805" t="str">
        <f>'[3]Plan Tron'!C488</f>
        <v>SINAPI (INSUMO)</v>
      </c>
      <c r="G1696" s="643" t="str">
        <f>'[3]Plan Tron'!D488</f>
        <v xml:space="preserve">CURVA DE PVC 90 GRAUS, SOLDAVEL, 110 MM, PARA AGUA FRIA PREDIAL (NBR 5648) </v>
      </c>
      <c r="H1696" s="805" t="str">
        <f>'[3]Plan Tron'!E488</f>
        <v xml:space="preserve">UN </v>
      </c>
      <c r="I1696" s="235">
        <v>3</v>
      </c>
      <c r="J1696" s="242">
        <v>83.12</v>
      </c>
      <c r="K1696" s="242">
        <f>'[3]Plan Tron'!F488</f>
        <v>83.65</v>
      </c>
      <c r="L1696" s="242">
        <v>16.8</v>
      </c>
      <c r="M1696" s="9">
        <f t="shared" si="115"/>
        <v>97.7</v>
      </c>
      <c r="N1696" s="382">
        <v>0</v>
      </c>
      <c r="O1696" s="789">
        <f t="shared" si="112"/>
        <v>3</v>
      </c>
      <c r="P1696" s="863">
        <f t="shared" si="116"/>
        <v>293.10000000000002</v>
      </c>
      <c r="Q1696" s="874"/>
      <c r="R1696" s="874"/>
      <c r="S1696" s="841"/>
      <c r="T1696" s="854"/>
    </row>
    <row r="1697" spans="1:20" s="344" customFormat="1" ht="25.5">
      <c r="A1697" s="915"/>
      <c r="B1697" s="919"/>
      <c r="C1697" s="913"/>
      <c r="D1697" s="239" t="s">
        <v>213</v>
      </c>
      <c r="E1697" s="805">
        <f>'[3]Plan Tron'!B489</f>
        <v>7106</v>
      </c>
      <c r="F1697" s="805" t="str">
        <f>'[3]Plan Tron'!C489</f>
        <v>SINAPI (INSUMO)</v>
      </c>
      <c r="G1697" s="643" t="str">
        <f>'[3]Plan Tron'!D489</f>
        <v xml:space="preserve">TE DE REDUCAO, PVC, SOLDAVEL, 90 GRAUS, 110 MM X 60 MM, PARA AGUA FRIA PREDIAL </v>
      </c>
      <c r="H1697" s="805" t="str">
        <f>'[3]Plan Tron'!E489</f>
        <v xml:space="preserve">UN </v>
      </c>
      <c r="I1697" s="235">
        <v>6</v>
      </c>
      <c r="J1697" s="242">
        <v>73.39</v>
      </c>
      <c r="K1697" s="242">
        <f>'[3]Plan Tron'!F489</f>
        <v>95.24</v>
      </c>
      <c r="L1697" s="242">
        <v>16.8</v>
      </c>
      <c r="M1697" s="9">
        <f t="shared" si="115"/>
        <v>111.24</v>
      </c>
      <c r="N1697" s="382">
        <v>0</v>
      </c>
      <c r="O1697" s="789">
        <f t="shared" si="112"/>
        <v>6</v>
      </c>
      <c r="P1697" s="863">
        <f t="shared" si="116"/>
        <v>667.44</v>
      </c>
      <c r="Q1697" s="874"/>
      <c r="R1697" s="874"/>
      <c r="S1697" s="841"/>
      <c r="T1697" s="854"/>
    </row>
    <row r="1698" spans="1:20" s="344" customFormat="1" ht="25.5">
      <c r="A1698" s="915"/>
      <c r="B1698" s="919"/>
      <c r="C1698" s="913"/>
      <c r="D1698" s="239" t="s">
        <v>212</v>
      </c>
      <c r="E1698" s="805">
        <f>'[3]Plan Tron'!B490</f>
        <v>815</v>
      </c>
      <c r="F1698" s="805" t="str">
        <f>'[3]Plan Tron'!C490</f>
        <v>SINAPI (INSUMO)</v>
      </c>
      <c r="G1698" s="643" t="str">
        <f>'[3]Plan Tron'!D490</f>
        <v>BUCHA DE REDUCAO DE PVC, SOLDAVEL, LONGA, COM 60 X 40 MM, PARA AGUA FRIA PREDIAL</v>
      </c>
      <c r="H1698" s="805" t="str">
        <f>'[3]Plan Tron'!E490</f>
        <v xml:space="preserve">UN </v>
      </c>
      <c r="I1698" s="235">
        <v>1</v>
      </c>
      <c r="J1698" s="242">
        <v>5.38</v>
      </c>
      <c r="K1698" s="242">
        <f>'[3]Plan Tron'!F490</f>
        <v>7.58</v>
      </c>
      <c r="L1698" s="242">
        <v>16.8</v>
      </c>
      <c r="M1698" s="9">
        <f t="shared" si="115"/>
        <v>8.85</v>
      </c>
      <c r="N1698" s="382">
        <v>0</v>
      </c>
      <c r="O1698" s="789">
        <f t="shared" si="112"/>
        <v>1</v>
      </c>
      <c r="P1698" s="863">
        <f t="shared" si="116"/>
        <v>8.85</v>
      </c>
      <c r="Q1698" s="874"/>
      <c r="R1698" s="874"/>
      <c r="S1698" s="841"/>
      <c r="T1698" s="854"/>
    </row>
    <row r="1699" spans="1:20" s="344" customFormat="1" ht="25.5">
      <c r="A1699" s="915"/>
      <c r="B1699" s="919"/>
      <c r="C1699" s="913"/>
      <c r="D1699" s="239" t="s">
        <v>211</v>
      </c>
      <c r="E1699" s="805">
        <f>'[3]Plan Tron'!B491</f>
        <v>827</v>
      </c>
      <c r="F1699" s="805" t="str">
        <f>'[3]Plan Tron'!C491</f>
        <v>SINAPI (INSUMO)</v>
      </c>
      <c r="G1699" s="643" t="str">
        <f>'[3]Plan Tron'!D491</f>
        <v>BUCHA DE REDUCAO DE PVC, SOLDAVEL, LONGA, COM 110 X 75 MM, PARA AGUA FRIA PREDIAL</v>
      </c>
      <c r="H1699" s="805" t="str">
        <f>'[3]Plan Tron'!E491</f>
        <v xml:space="preserve">UN </v>
      </c>
      <c r="I1699" s="235">
        <v>2</v>
      </c>
      <c r="J1699" s="242">
        <v>18.57</v>
      </c>
      <c r="K1699" s="242">
        <f>'[3]Plan Tron'!F491</f>
        <v>23.41</v>
      </c>
      <c r="L1699" s="242">
        <v>16.8</v>
      </c>
      <c r="M1699" s="9">
        <f t="shared" si="115"/>
        <v>27.34</v>
      </c>
      <c r="N1699" s="382">
        <v>0</v>
      </c>
      <c r="O1699" s="789">
        <f t="shared" ref="O1699:O1729" si="117">I1699-N1699</f>
        <v>2</v>
      </c>
      <c r="P1699" s="863">
        <f t="shared" si="116"/>
        <v>54.68</v>
      </c>
      <c r="Q1699" s="874"/>
      <c r="R1699" s="874"/>
      <c r="S1699" s="841"/>
      <c r="T1699" s="854"/>
    </row>
    <row r="1700" spans="1:20">
      <c r="D1700" s="239" t="s">
        <v>18</v>
      </c>
      <c r="E1700" s="824"/>
      <c r="F1700" s="243"/>
      <c r="G1700" s="113" t="s">
        <v>1333</v>
      </c>
      <c r="H1700" s="132"/>
      <c r="I1700" s="235"/>
      <c r="J1700" s="334"/>
      <c r="K1700" s="334"/>
      <c r="L1700" s="242"/>
      <c r="M1700" s="9"/>
      <c r="N1700" s="382"/>
      <c r="O1700" s="789"/>
      <c r="P1700" s="863"/>
      <c r="Q1700" s="874"/>
      <c r="R1700" s="874"/>
      <c r="S1700" s="841"/>
      <c r="T1700" s="854"/>
    </row>
    <row r="1701" spans="1:20" s="344" customFormat="1" ht="25.5">
      <c r="A1701" s="915"/>
      <c r="B1701" s="919"/>
      <c r="C1701" s="913"/>
      <c r="D1701" s="239" t="s">
        <v>211</v>
      </c>
      <c r="E1701" s="805">
        <f>'[3]Plan Tron'!B492</f>
        <v>50</v>
      </c>
      <c r="F1701" s="805" t="str">
        <f>'[3]Plan Tron'!C492</f>
        <v>SINAPI (INSUMO)</v>
      </c>
      <c r="G1701" s="643" t="str">
        <f>'[3]Plan Tron'!D492</f>
        <v xml:space="preserve">ADAPTADOR, PVC PBA, A BOLSA DEFOFO, JE, DN 75 / DE 85 MM </v>
      </c>
      <c r="H1701" s="805" t="str">
        <f>'[3]Plan Tron'!E492</f>
        <v xml:space="preserve">UN </v>
      </c>
      <c r="I1701" s="235">
        <v>2</v>
      </c>
      <c r="J1701" s="242">
        <v>35.49</v>
      </c>
      <c r="K1701" s="242">
        <f>'[3]Plan Tron'!F492</f>
        <v>39.090000000000003</v>
      </c>
      <c r="L1701" s="242">
        <v>16.8</v>
      </c>
      <c r="M1701" s="9">
        <f t="shared" si="115"/>
        <v>45.66</v>
      </c>
      <c r="N1701" s="382">
        <v>0</v>
      </c>
      <c r="O1701" s="789">
        <f t="shared" si="117"/>
        <v>2</v>
      </c>
      <c r="P1701" s="863">
        <f t="shared" si="116"/>
        <v>91.32</v>
      </c>
      <c r="Q1701" s="874"/>
      <c r="R1701" s="874"/>
      <c r="S1701" s="841"/>
      <c r="T1701" s="854"/>
    </row>
    <row r="1702" spans="1:20">
      <c r="D1702" s="239"/>
      <c r="E1702" s="824"/>
      <c r="F1702" s="243"/>
      <c r="G1702" s="113"/>
      <c r="H1702" s="132"/>
      <c r="I1702" s="235"/>
      <c r="J1702" s="334"/>
      <c r="K1702" s="334"/>
      <c r="L1702" s="242"/>
      <c r="M1702" s="9"/>
      <c r="N1702" s="375"/>
      <c r="O1702" s="789"/>
      <c r="P1702" s="863"/>
      <c r="Q1702" s="874"/>
      <c r="R1702" s="874"/>
      <c r="S1702" s="841"/>
      <c r="T1702" s="854"/>
    </row>
    <row r="1703" spans="1:20">
      <c r="D1703" s="239"/>
      <c r="E1703" s="824"/>
      <c r="F1703" s="243"/>
      <c r="G1703" s="259"/>
      <c r="H1703" s="132"/>
      <c r="I1703" s="235"/>
      <c r="J1703" s="335"/>
      <c r="K1703" s="335"/>
      <c r="L1703" s="294"/>
      <c r="M1703" s="9"/>
      <c r="N1703" s="380"/>
      <c r="O1703" s="789"/>
      <c r="P1703" s="863"/>
      <c r="Q1703" s="874"/>
      <c r="R1703" s="874"/>
      <c r="S1703" s="841"/>
      <c r="T1703" s="854"/>
    </row>
    <row r="1704" spans="1:20">
      <c r="D1704" s="239"/>
      <c r="E1704" s="824"/>
      <c r="F1704" s="243"/>
      <c r="G1704" s="259"/>
      <c r="H1704" s="132"/>
      <c r="I1704" s="235"/>
      <c r="J1704" s="335"/>
      <c r="K1704" s="335"/>
      <c r="L1704" s="294"/>
      <c r="M1704" s="9"/>
      <c r="N1704" s="375"/>
      <c r="O1704" s="789"/>
      <c r="P1704" s="863"/>
      <c r="Q1704" s="874"/>
      <c r="R1704" s="874"/>
      <c r="S1704" s="841"/>
      <c r="T1704" s="854"/>
    </row>
    <row r="1705" spans="1:20">
      <c r="D1705" s="260">
        <v>2</v>
      </c>
      <c r="E1705" s="824"/>
      <c r="F1705" s="243"/>
      <c r="G1705" s="234" t="s">
        <v>1860</v>
      </c>
      <c r="H1705" s="132"/>
      <c r="I1705" s="235"/>
      <c r="J1705" s="334"/>
      <c r="K1705" s="334"/>
      <c r="L1705" s="242"/>
      <c r="M1705" s="9"/>
      <c r="N1705" s="375"/>
      <c r="O1705" s="789"/>
      <c r="P1705" s="863"/>
      <c r="Q1705" s="874"/>
      <c r="R1705" s="874"/>
      <c r="S1705" s="841"/>
      <c r="T1705" s="854"/>
    </row>
    <row r="1706" spans="1:20">
      <c r="D1706" s="239" t="s">
        <v>9</v>
      </c>
      <c r="E1706" s="824"/>
      <c r="F1706" s="243"/>
      <c r="G1706" s="113" t="s">
        <v>970</v>
      </c>
      <c r="H1706" s="132"/>
      <c r="I1706" s="235"/>
      <c r="J1706" s="334"/>
      <c r="K1706" s="334"/>
      <c r="L1706" s="242"/>
      <c r="M1706" s="9"/>
      <c r="N1706" s="375"/>
      <c r="O1706" s="789"/>
      <c r="P1706" s="863"/>
      <c r="Q1706" s="874"/>
      <c r="R1706" s="874"/>
      <c r="S1706" s="841"/>
      <c r="T1706" s="854"/>
    </row>
    <row r="1707" spans="1:20" s="344" customFormat="1" ht="25.5">
      <c r="A1707" s="915"/>
      <c r="B1707" s="919"/>
      <c r="C1707" s="913"/>
      <c r="D1707" s="239" t="s">
        <v>348</v>
      </c>
      <c r="E1707" s="805">
        <f>'[3]Plan Tron'!B493</f>
        <v>9868</v>
      </c>
      <c r="F1707" s="805" t="str">
        <f>'[3]Plan Tron'!C493</f>
        <v>SINAPI (INSUMO)</v>
      </c>
      <c r="G1707" s="643" t="str">
        <f>'[3]Plan Tron'!D493</f>
        <v xml:space="preserve">TUBO PVC, SOLDAVEL, DN 25 MM, AGUA FRIA (NBR-5648)  </v>
      </c>
      <c r="H1707" s="805" t="str">
        <f>'[3]Plan Tron'!E493</f>
        <v>M</v>
      </c>
      <c r="I1707" s="235">
        <v>3</v>
      </c>
      <c r="J1707" s="242">
        <v>2.57</v>
      </c>
      <c r="K1707" s="242">
        <f>'[3]Plan Tron'!F493</f>
        <v>2.71</v>
      </c>
      <c r="L1707" s="242">
        <v>16.8</v>
      </c>
      <c r="M1707" s="9">
        <f t="shared" si="115"/>
        <v>3.17</v>
      </c>
      <c r="N1707" s="382">
        <v>0</v>
      </c>
      <c r="O1707" s="789">
        <f t="shared" si="117"/>
        <v>3</v>
      </c>
      <c r="P1707" s="863">
        <f t="shared" si="116"/>
        <v>9.51</v>
      </c>
      <c r="Q1707" s="874"/>
      <c r="R1707" s="874"/>
      <c r="S1707" s="841"/>
      <c r="T1707" s="854"/>
    </row>
    <row r="1708" spans="1:20" s="344" customFormat="1" ht="25.5">
      <c r="A1708" s="915"/>
      <c r="B1708" s="919"/>
      <c r="C1708" s="913"/>
      <c r="D1708" s="239" t="s">
        <v>740</v>
      </c>
      <c r="E1708" s="805">
        <f>'[3]Plan Tron'!B494</f>
        <v>9841</v>
      </c>
      <c r="F1708" s="805" t="str">
        <f>'[3]Plan Tron'!C494</f>
        <v>SINAPI (INSUMO)</v>
      </c>
      <c r="G1708" s="643" t="str">
        <f>'[3]Plan Tron'!D494</f>
        <v>TUBO PVC, PBV, SERIE R, DN 100 MM, PARA ESGOTO OU AGUAS PLUVIAIS PREDIAL (NBR 5688)</v>
      </c>
      <c r="H1708" s="805" t="str">
        <f>'[3]Plan Tron'!E494</f>
        <v>M</v>
      </c>
      <c r="I1708" s="235">
        <v>0.7</v>
      </c>
      <c r="J1708" s="242">
        <v>17.559999999999999</v>
      </c>
      <c r="K1708" s="242">
        <f>'[3]Plan Tron'!F494</f>
        <v>18.809999999999999</v>
      </c>
      <c r="L1708" s="242">
        <v>16.8</v>
      </c>
      <c r="M1708" s="9">
        <f t="shared" si="115"/>
        <v>21.97</v>
      </c>
      <c r="N1708" s="382">
        <v>0</v>
      </c>
      <c r="O1708" s="789">
        <f t="shared" si="117"/>
        <v>0.7</v>
      </c>
      <c r="P1708" s="863">
        <f t="shared" si="116"/>
        <v>15.38</v>
      </c>
      <c r="Q1708" s="874"/>
      <c r="R1708" s="874"/>
      <c r="S1708" s="841"/>
      <c r="T1708" s="854"/>
    </row>
    <row r="1709" spans="1:20">
      <c r="D1709" s="239" t="s">
        <v>8</v>
      </c>
      <c r="E1709" s="824"/>
      <c r="F1709" s="243"/>
      <c r="G1709" s="113" t="s">
        <v>1859</v>
      </c>
      <c r="H1709" s="132"/>
      <c r="I1709" s="235"/>
      <c r="J1709" s="334"/>
      <c r="K1709" s="334"/>
      <c r="L1709" s="242"/>
      <c r="M1709" s="9"/>
      <c r="N1709" s="375"/>
      <c r="O1709" s="789"/>
      <c r="P1709" s="863"/>
      <c r="Q1709" s="874"/>
      <c r="R1709" s="874"/>
      <c r="S1709" s="841"/>
      <c r="T1709" s="854"/>
    </row>
    <row r="1710" spans="1:20" s="344" customFormat="1" ht="25.5">
      <c r="A1710" s="915"/>
      <c r="B1710" s="919"/>
      <c r="C1710" s="913"/>
      <c r="D1710" s="239" t="s">
        <v>317</v>
      </c>
      <c r="E1710" s="805">
        <f>'[3]Plan Tron'!B495</f>
        <v>21013</v>
      </c>
      <c r="F1710" s="805" t="str">
        <f>'[3]Plan Tron'!C495</f>
        <v>SINAPI (INSUMO)</v>
      </c>
      <c r="G1710" s="643" t="str">
        <f>'[3]Plan Tron'!D495</f>
        <v>TUBO ACO GALVANIZADO COM COSTURA, CLASSE LEVE, DN 50 MM ( 2"), E = 3,00 MM, *4,40* KG/M (NBR 5580)</v>
      </c>
      <c r="H1710" s="805" t="str">
        <f>'[3]Plan Tron'!E495</f>
        <v>M</v>
      </c>
      <c r="I1710" s="235">
        <v>1.5</v>
      </c>
      <c r="J1710" s="242">
        <v>36.97</v>
      </c>
      <c r="K1710" s="242">
        <f>'[3]Plan Tron'!F495</f>
        <v>33.71</v>
      </c>
      <c r="L1710" s="242">
        <v>16.8</v>
      </c>
      <c r="M1710" s="9">
        <f t="shared" si="115"/>
        <v>39.369999999999997</v>
      </c>
      <c r="N1710" s="382">
        <v>0</v>
      </c>
      <c r="O1710" s="789">
        <f t="shared" si="117"/>
        <v>1.5</v>
      </c>
      <c r="P1710" s="863">
        <f t="shared" si="116"/>
        <v>59.06</v>
      </c>
      <c r="Q1710" s="874"/>
      <c r="R1710" s="874"/>
      <c r="S1710" s="841"/>
      <c r="T1710" s="854"/>
    </row>
    <row r="1711" spans="1:20">
      <c r="D1711" s="239" t="s">
        <v>7</v>
      </c>
      <c r="E1711" s="824"/>
      <c r="F1711" s="243"/>
      <c r="G1711" s="113" t="s">
        <v>700</v>
      </c>
      <c r="H1711" s="132"/>
      <c r="I1711" s="235"/>
      <c r="J1711" s="334"/>
      <c r="K1711" s="334"/>
      <c r="L1711" s="242"/>
      <c r="M1711" s="9"/>
      <c r="N1711" s="375"/>
      <c r="O1711" s="789"/>
      <c r="P1711" s="863"/>
      <c r="Q1711" s="874"/>
      <c r="R1711" s="874"/>
      <c r="S1711" s="841"/>
      <c r="T1711" s="854"/>
    </row>
    <row r="1712" spans="1:20" s="344" customFormat="1" ht="25.5">
      <c r="A1712" s="915"/>
      <c r="B1712" s="919"/>
      <c r="C1712" s="913"/>
      <c r="D1712" s="239" t="s">
        <v>314</v>
      </c>
      <c r="E1712" s="805">
        <f>'[3]Plan Tron'!B496</f>
        <v>113</v>
      </c>
      <c r="F1712" s="805" t="str">
        <f>'[3]Plan Tron'!C496</f>
        <v>SINAPI (INSUMO)</v>
      </c>
      <c r="G1712" s="643" t="str">
        <f>'[3]Plan Tron'!D496</f>
        <v xml:space="preserve">ADAPTADOR PVC SOLDAVEL CURTO COM BOLSA E ROSCA, 60 MM X 2", PARA AGUA FRIA </v>
      </c>
      <c r="H1712" s="805" t="str">
        <f>'[3]Plan Tron'!E496</f>
        <v xml:space="preserve">UN </v>
      </c>
      <c r="I1712" s="235">
        <v>1</v>
      </c>
      <c r="J1712" s="242">
        <v>8.6999999999999993</v>
      </c>
      <c r="K1712" s="242">
        <f>'[3]Plan Tron'!F496</f>
        <v>7.71</v>
      </c>
      <c r="L1712" s="242">
        <v>16.8</v>
      </c>
      <c r="M1712" s="9">
        <f t="shared" si="115"/>
        <v>9.01</v>
      </c>
      <c r="N1712" s="382">
        <v>0</v>
      </c>
      <c r="O1712" s="789">
        <f t="shared" si="117"/>
        <v>1</v>
      </c>
      <c r="P1712" s="863">
        <f t="shared" si="116"/>
        <v>9.01</v>
      </c>
      <c r="Q1712" s="874"/>
      <c r="R1712" s="874"/>
      <c r="S1712" s="841"/>
      <c r="T1712" s="854"/>
    </row>
    <row r="1713" spans="1:20">
      <c r="D1713" s="239"/>
      <c r="E1713" s="824"/>
      <c r="F1713" s="243"/>
      <c r="G1713" s="295"/>
      <c r="H1713" s="132"/>
      <c r="I1713" s="235"/>
      <c r="J1713" s="334"/>
      <c r="K1713" s="334"/>
      <c r="L1713" s="242"/>
      <c r="M1713" s="9"/>
      <c r="N1713" s="375"/>
      <c r="O1713" s="789"/>
      <c r="P1713" s="863"/>
      <c r="Q1713" s="874"/>
      <c r="R1713" s="874"/>
      <c r="S1713" s="841"/>
      <c r="T1713" s="854"/>
    </row>
    <row r="1714" spans="1:20">
      <c r="D1714" s="239"/>
      <c r="E1714" s="824"/>
      <c r="F1714" s="243"/>
      <c r="G1714" s="295"/>
      <c r="H1714" s="606"/>
      <c r="I1714" s="235"/>
      <c r="J1714" s="242"/>
      <c r="K1714" s="242"/>
      <c r="L1714" s="242"/>
      <c r="M1714" s="9"/>
      <c r="N1714" s="926"/>
      <c r="O1714" s="900"/>
      <c r="P1714" s="901"/>
      <c r="Q1714" s="874"/>
      <c r="R1714" s="874"/>
      <c r="S1714" s="841"/>
      <c r="T1714" s="854"/>
    </row>
    <row r="1715" spans="1:20" s="344" customFormat="1" ht="25.5">
      <c r="A1715" s="915"/>
      <c r="B1715" s="919"/>
      <c r="C1715" s="913"/>
      <c r="D1715" s="239" t="s">
        <v>347</v>
      </c>
      <c r="E1715" s="805">
        <f>'[3]Plan Tron'!B497</f>
        <v>65</v>
      </c>
      <c r="F1715" s="805" t="str">
        <f>'[3]Plan Tron'!C497</f>
        <v>SINAPI (INSUMO)</v>
      </c>
      <c r="G1715" s="643" t="str">
        <f>'[3]Plan Tron'!D497</f>
        <v xml:space="preserve">ADAPTADOR PVC SOLDAVEL CURTO COM BOLSA E ROSCA, 25 MM X 3/4", PARA AGUA FRIA </v>
      </c>
      <c r="H1715" s="805" t="str">
        <f>'[3]Plan Tron'!E497</f>
        <v xml:space="preserve">UN </v>
      </c>
      <c r="I1715" s="235">
        <v>1</v>
      </c>
      <c r="J1715" s="242">
        <v>0.6</v>
      </c>
      <c r="K1715" s="242">
        <f>'[3]Plan Tron'!F497</f>
        <v>0.69</v>
      </c>
      <c r="L1715" s="242">
        <v>16.8</v>
      </c>
      <c r="M1715" s="9">
        <f t="shared" si="115"/>
        <v>0.81</v>
      </c>
      <c r="N1715" s="948">
        <v>0</v>
      </c>
      <c r="O1715" s="900">
        <f t="shared" si="117"/>
        <v>1</v>
      </c>
      <c r="P1715" s="901">
        <f t="shared" si="116"/>
        <v>0.81</v>
      </c>
      <c r="Q1715" s="874"/>
      <c r="R1715" s="874"/>
      <c r="S1715" s="841"/>
      <c r="T1715" s="854"/>
    </row>
    <row r="1716" spans="1:20" s="610" customFormat="1">
      <c r="A1716" s="915"/>
      <c r="B1716" s="919" t="s">
        <v>2457</v>
      </c>
      <c r="C1716" s="913"/>
      <c r="D1716" s="239" t="s">
        <v>945</v>
      </c>
      <c r="E1716" s="606" t="s">
        <v>1891</v>
      </c>
      <c r="F1716" s="235"/>
      <c r="G1716" s="295" t="s">
        <v>1857</v>
      </c>
      <c r="H1716" s="606" t="s">
        <v>246</v>
      </c>
      <c r="I1716" s="235">
        <v>1</v>
      </c>
      <c r="J1716" s="242">
        <v>1.82</v>
      </c>
      <c r="K1716" s="9">
        <f>J1716*$S$3</f>
        <v>2.3842000000000003</v>
      </c>
      <c r="L1716" s="242">
        <v>16.8</v>
      </c>
      <c r="M1716" s="9">
        <f t="shared" si="115"/>
        <v>2.78</v>
      </c>
      <c r="N1716" s="948">
        <v>0</v>
      </c>
      <c r="O1716" s="900">
        <f t="shared" si="117"/>
        <v>1</v>
      </c>
      <c r="P1716" s="901">
        <f t="shared" si="116"/>
        <v>2.78</v>
      </c>
      <c r="Q1716" s="873"/>
      <c r="R1716" s="873"/>
      <c r="S1716" s="840"/>
      <c r="T1716" s="853"/>
    </row>
    <row r="1717" spans="1:20" s="344" customFormat="1" ht="25.5">
      <c r="A1717" s="915"/>
      <c r="B1717" s="919"/>
      <c r="C1717" s="913"/>
      <c r="D1717" s="239" t="s">
        <v>1856</v>
      </c>
      <c r="E1717" s="805">
        <f>'[3]Plan Tron'!B498</f>
        <v>3529</v>
      </c>
      <c r="F1717" s="805" t="str">
        <f>'[3]Plan Tron'!C498</f>
        <v>SINAPI (INSUMO)</v>
      </c>
      <c r="G1717" s="643" t="str">
        <f>'[3]Plan Tron'!D498</f>
        <v xml:space="preserve">JOELHO PVC, SOLDAVEL, 90 GRAUS, 25 MM, PARA AGUA FRIA PREDIAL </v>
      </c>
      <c r="H1717" s="805" t="str">
        <f>'[3]Plan Tron'!E498</f>
        <v xml:space="preserve">UN </v>
      </c>
      <c r="I1717" s="235">
        <v>1</v>
      </c>
      <c r="J1717" s="242">
        <v>0.5</v>
      </c>
      <c r="K1717" s="242">
        <f>'[3]Plan Tron'!F498</f>
        <v>0.65</v>
      </c>
      <c r="L1717" s="242">
        <v>16.8</v>
      </c>
      <c r="M1717" s="9">
        <f t="shared" si="115"/>
        <v>0.76</v>
      </c>
      <c r="N1717" s="948">
        <v>0</v>
      </c>
      <c r="O1717" s="900">
        <f t="shared" si="117"/>
        <v>1</v>
      </c>
      <c r="P1717" s="901">
        <f t="shared" si="116"/>
        <v>0.76</v>
      </c>
      <c r="Q1717" s="874"/>
      <c r="R1717" s="874"/>
      <c r="S1717" s="841"/>
      <c r="T1717" s="854"/>
    </row>
    <row r="1718" spans="1:20" s="344" customFormat="1" ht="25.5">
      <c r="A1718" s="915"/>
      <c r="B1718" s="919"/>
      <c r="C1718" s="913"/>
      <c r="D1718" s="239" t="s">
        <v>1855</v>
      </c>
      <c r="E1718" s="805">
        <f>'[3]Plan Tron'!B499</f>
        <v>3522</v>
      </c>
      <c r="F1718" s="805" t="str">
        <f>'[3]Plan Tron'!C499</f>
        <v>SINAPI (INSUMO)</v>
      </c>
      <c r="G1718" s="643" t="str">
        <f>'[3]Plan Tron'!D499</f>
        <v xml:space="preserve">JOELHO PVC, SOLDAVEL COM ROSCA, 90 GRAUS, 25 MM X 3/4", PARA AGUA FRIA PREDIAL  </v>
      </c>
      <c r="H1718" s="805" t="str">
        <f>'[3]Plan Tron'!E499</f>
        <v xml:space="preserve">UN </v>
      </c>
      <c r="I1718" s="235">
        <v>1</v>
      </c>
      <c r="J1718" s="242">
        <v>1.9</v>
      </c>
      <c r="K1718" s="242">
        <f>'[3]Plan Tron'!F499</f>
        <v>2.54</v>
      </c>
      <c r="L1718" s="242">
        <v>16.8</v>
      </c>
      <c r="M1718" s="9">
        <f t="shared" si="115"/>
        <v>2.97</v>
      </c>
      <c r="N1718" s="948">
        <v>0</v>
      </c>
      <c r="O1718" s="900">
        <f t="shared" si="117"/>
        <v>1</v>
      </c>
      <c r="P1718" s="901">
        <f t="shared" si="116"/>
        <v>2.97</v>
      </c>
      <c r="Q1718" s="874"/>
      <c r="R1718" s="874"/>
      <c r="S1718" s="841"/>
      <c r="T1718" s="854"/>
    </row>
    <row r="1719" spans="1:20">
      <c r="D1719" s="239" t="s">
        <v>6</v>
      </c>
      <c r="E1719" s="824"/>
      <c r="F1719" s="243"/>
      <c r="G1719" s="295" t="s">
        <v>1186</v>
      </c>
      <c r="H1719" s="606"/>
      <c r="I1719" s="235"/>
      <c r="J1719" s="242"/>
      <c r="K1719" s="242"/>
      <c r="L1719" s="242"/>
      <c r="M1719" s="9"/>
      <c r="N1719" s="948"/>
      <c r="O1719" s="900"/>
      <c r="P1719" s="901"/>
      <c r="Q1719" s="874"/>
      <c r="R1719" s="874"/>
      <c r="S1719" s="841"/>
      <c r="T1719" s="854"/>
    </row>
    <row r="1720" spans="1:20" s="344" customFormat="1" ht="25.5">
      <c r="A1720" s="915"/>
      <c r="B1720" s="919"/>
      <c r="C1720" s="913"/>
      <c r="D1720" s="239" t="s">
        <v>311</v>
      </c>
      <c r="E1720" s="805">
        <f>'[3]Plan Tron'!B500</f>
        <v>3471</v>
      </c>
      <c r="F1720" s="805" t="str">
        <f>'[3]Plan Tron'!C500</f>
        <v>SINAPI (INSUMO)</v>
      </c>
      <c r="G1720" s="643" t="str">
        <f>'[3]Plan Tron'!D500</f>
        <v xml:space="preserve">COTOVELO 90 GRAUS DE FERRO GALVANIZADO, COM ROSCA BSP, DE 2" </v>
      </c>
      <c r="H1720" s="805" t="str">
        <f>'[3]Plan Tron'!E500</f>
        <v xml:space="preserve">UN </v>
      </c>
      <c r="I1720" s="235">
        <v>1</v>
      </c>
      <c r="J1720" s="242">
        <v>26.26</v>
      </c>
      <c r="K1720" s="242">
        <f>'[3]Plan Tron'!F500</f>
        <v>27.67</v>
      </c>
      <c r="L1720" s="242">
        <v>16.8</v>
      </c>
      <c r="M1720" s="9">
        <f t="shared" si="115"/>
        <v>32.32</v>
      </c>
      <c r="N1720" s="948">
        <v>0</v>
      </c>
      <c r="O1720" s="900">
        <f t="shared" si="117"/>
        <v>1</v>
      </c>
      <c r="P1720" s="901">
        <f t="shared" si="116"/>
        <v>32.32</v>
      </c>
      <c r="Q1720" s="874"/>
      <c r="R1720" s="874"/>
      <c r="S1720" s="841"/>
      <c r="T1720" s="854"/>
    </row>
    <row r="1721" spans="1:20" s="344" customFormat="1" ht="25.5">
      <c r="A1721" s="915"/>
      <c r="B1721" s="919"/>
      <c r="C1721" s="913"/>
      <c r="D1721" s="239" t="s">
        <v>710</v>
      </c>
      <c r="E1721" s="805">
        <f>'[3]Plan Tron'!B501</f>
        <v>6298</v>
      </c>
      <c r="F1721" s="805" t="str">
        <f>'[3]Plan Tron'!C501</f>
        <v>SINAPI (INSUMO)</v>
      </c>
      <c r="G1721" s="643" t="str">
        <f>'[3]Plan Tron'!D501</f>
        <v xml:space="preserve"> TE DE FERRO GALVANIZADO, DE 2" </v>
      </c>
      <c r="H1721" s="805" t="str">
        <f>'[3]Plan Tron'!E501</f>
        <v xml:space="preserve">UN </v>
      </c>
      <c r="I1721" s="235">
        <v>1</v>
      </c>
      <c r="J1721" s="242">
        <v>34.729999999999997</v>
      </c>
      <c r="K1721" s="242">
        <f>'[3]Plan Tron'!F501</f>
        <v>36.79</v>
      </c>
      <c r="L1721" s="242">
        <v>16.8</v>
      </c>
      <c r="M1721" s="9">
        <f t="shared" si="115"/>
        <v>42.97</v>
      </c>
      <c r="N1721" s="948">
        <v>0</v>
      </c>
      <c r="O1721" s="900">
        <f t="shared" si="117"/>
        <v>1</v>
      </c>
      <c r="P1721" s="901">
        <f t="shared" si="116"/>
        <v>42.97</v>
      </c>
      <c r="Q1721" s="874"/>
      <c r="R1721" s="874"/>
      <c r="S1721" s="841"/>
      <c r="T1721" s="854"/>
    </row>
    <row r="1722" spans="1:20" s="344" customFormat="1" ht="25.5">
      <c r="A1722" s="915"/>
      <c r="B1722" s="919"/>
      <c r="C1722" s="913"/>
      <c r="D1722" s="239" t="s">
        <v>971</v>
      </c>
      <c r="E1722" s="805">
        <f>'[3]Plan Tron'!B502</f>
        <v>771</v>
      </c>
      <c r="F1722" s="805" t="str">
        <f>'[3]Plan Tron'!C502</f>
        <v>SINAPI (INSUMO)</v>
      </c>
      <c r="G1722" s="643" t="str">
        <f>'[3]Plan Tron'!D502</f>
        <v xml:space="preserve">BUCHA DE REDUCAO DE FERRO GALVANIZADO, COM ROSCA BSP, DE 2" X 1" </v>
      </c>
      <c r="H1722" s="805" t="str">
        <f>'[3]Plan Tron'!E502</f>
        <v xml:space="preserve">UN </v>
      </c>
      <c r="I1722" s="235">
        <v>1</v>
      </c>
      <c r="J1722" s="242">
        <v>12.16</v>
      </c>
      <c r="K1722" s="242">
        <f>'[3]Plan Tron'!F502</f>
        <v>15.41</v>
      </c>
      <c r="L1722" s="242">
        <v>16.8</v>
      </c>
      <c r="M1722" s="9">
        <f t="shared" si="115"/>
        <v>18</v>
      </c>
      <c r="N1722" s="948">
        <v>0</v>
      </c>
      <c r="O1722" s="900">
        <f t="shared" si="117"/>
        <v>1</v>
      </c>
      <c r="P1722" s="901">
        <f t="shared" si="116"/>
        <v>18</v>
      </c>
      <c r="Q1722" s="874"/>
      <c r="R1722" s="874"/>
      <c r="S1722" s="841"/>
      <c r="T1722" s="854"/>
    </row>
    <row r="1723" spans="1:20" s="344" customFormat="1" ht="25.5">
      <c r="A1723" s="915"/>
      <c r="B1723" s="919"/>
      <c r="C1723" s="913"/>
      <c r="D1723" s="239" t="s">
        <v>966</v>
      </c>
      <c r="E1723" s="805">
        <f>'[3]Plan Tron'!B503</f>
        <v>765</v>
      </c>
      <c r="F1723" s="805" t="str">
        <f>'[3]Plan Tron'!C503</f>
        <v>SINAPI (INSUMO)</v>
      </c>
      <c r="G1723" s="643" t="str">
        <f>'[3]Plan Tron'!D503</f>
        <v xml:space="preserve">BUCHA DE REDUCAO DE FERRO GALVANIZADO, COM ROSCA BSP, DE 1" X 3/4" </v>
      </c>
      <c r="H1723" s="805" t="str">
        <f>'[3]Plan Tron'!E503</f>
        <v xml:space="preserve">UN </v>
      </c>
      <c r="I1723" s="235">
        <v>1</v>
      </c>
      <c r="J1723" s="242">
        <v>4.58</v>
      </c>
      <c r="K1723" s="242">
        <f>'[3]Plan Tron'!F503</f>
        <v>5.55</v>
      </c>
      <c r="L1723" s="242">
        <v>16.8</v>
      </c>
      <c r="M1723" s="9">
        <f t="shared" si="115"/>
        <v>6.48</v>
      </c>
      <c r="N1723" s="382">
        <v>0</v>
      </c>
      <c r="O1723" s="789">
        <f t="shared" si="117"/>
        <v>1</v>
      </c>
      <c r="P1723" s="863">
        <f t="shared" si="116"/>
        <v>6.48</v>
      </c>
      <c r="Q1723" s="874"/>
      <c r="R1723" s="874"/>
      <c r="S1723" s="841"/>
      <c r="T1723" s="854"/>
    </row>
    <row r="1724" spans="1:20" s="344" customFormat="1" ht="25.5">
      <c r="A1724" s="915"/>
      <c r="B1724" s="919"/>
      <c r="C1724" s="913"/>
      <c r="D1724" s="239" t="s">
        <v>1854</v>
      </c>
      <c r="E1724" s="805">
        <f>'[3]Plan Tron'!B504</f>
        <v>3912</v>
      </c>
      <c r="F1724" s="805" t="str">
        <f>'[3]Plan Tron'!C504</f>
        <v>SINAPI (INSUMO)</v>
      </c>
      <c r="G1724" s="643" t="str">
        <f>'[3]Plan Tron'!D504</f>
        <v xml:space="preserve">LUVA DE FERRO GALVANIZADO, COM ROSCA BSP, DE 2" </v>
      </c>
      <c r="H1724" s="805" t="str">
        <f>'[3]Plan Tron'!E504</f>
        <v xml:space="preserve">UN </v>
      </c>
      <c r="I1724" s="235">
        <v>1</v>
      </c>
      <c r="J1724" s="242">
        <v>18.48</v>
      </c>
      <c r="K1724" s="242">
        <f>'[3]Plan Tron'!F504</f>
        <v>19.48</v>
      </c>
      <c r="L1724" s="242">
        <v>16.8</v>
      </c>
      <c r="M1724" s="9">
        <f t="shared" si="115"/>
        <v>22.75</v>
      </c>
      <c r="N1724" s="382">
        <v>0</v>
      </c>
      <c r="O1724" s="789">
        <f t="shared" si="117"/>
        <v>1</v>
      </c>
      <c r="P1724" s="863">
        <f t="shared" si="116"/>
        <v>22.75</v>
      </c>
      <c r="Q1724" s="874"/>
      <c r="R1724" s="874"/>
      <c r="S1724" s="841"/>
      <c r="T1724" s="854"/>
    </row>
    <row r="1725" spans="1:20" s="344" customFormat="1" ht="25.5">
      <c r="A1725" s="915"/>
      <c r="B1725" s="919"/>
      <c r="C1725" s="913"/>
      <c r="D1725" s="239" t="s">
        <v>1853</v>
      </c>
      <c r="E1725" s="805">
        <f>'[3]Plan Tron'!B505</f>
        <v>1790</v>
      </c>
      <c r="F1725" s="805" t="str">
        <f>'[3]Plan Tron'!C505</f>
        <v>SINAPI (INSUMO)</v>
      </c>
      <c r="G1725" s="643" t="str">
        <f>'[3]Plan Tron'!D505</f>
        <v xml:space="preserve">CURVA 90 GRAUS DE FERRO GALVANIZADO, COM ROSCA BSP FEMEA, DE 2" </v>
      </c>
      <c r="H1725" s="805" t="str">
        <f>'[3]Plan Tron'!E505</f>
        <v xml:space="preserve">UN </v>
      </c>
      <c r="I1725" s="235">
        <v>1</v>
      </c>
      <c r="J1725" s="242">
        <v>83.47</v>
      </c>
      <c r="K1725" s="242">
        <f>'[3]Plan Tron'!F505</f>
        <v>73.31</v>
      </c>
      <c r="L1725" s="242">
        <v>16.8</v>
      </c>
      <c r="M1725" s="9">
        <f t="shared" si="115"/>
        <v>85.63</v>
      </c>
      <c r="N1725" s="382">
        <v>0</v>
      </c>
      <c r="O1725" s="789">
        <f t="shared" si="117"/>
        <v>1</v>
      </c>
      <c r="P1725" s="863">
        <f t="shared" si="116"/>
        <v>85.63</v>
      </c>
      <c r="Q1725" s="874"/>
      <c r="R1725" s="874"/>
      <c r="S1725" s="841"/>
      <c r="T1725" s="854"/>
    </row>
    <row r="1726" spans="1:20" s="344" customFormat="1" ht="25.5">
      <c r="A1726" s="915"/>
      <c r="B1726" s="919"/>
      <c r="C1726" s="913"/>
      <c r="D1726" s="239" t="s">
        <v>1852</v>
      </c>
      <c r="E1726" s="805">
        <f>'[3]Plan Tron'!B506</f>
        <v>4181</v>
      </c>
      <c r="F1726" s="805" t="str">
        <f>'[3]Plan Tron'!C506</f>
        <v>SINAPI (INSUMO)</v>
      </c>
      <c r="G1726" s="643" t="str">
        <f>'[3]Plan Tron'!D506</f>
        <v>NIPLE DE FERRO GALVANIZADO, COM ROSCA BSP, DE 2"</v>
      </c>
      <c r="H1726" s="805" t="str">
        <f>'[3]Plan Tron'!E506</f>
        <v xml:space="preserve">UN </v>
      </c>
      <c r="I1726" s="235">
        <v>1</v>
      </c>
      <c r="J1726" s="242">
        <v>19.489999999999998</v>
      </c>
      <c r="K1726" s="242">
        <f>'[3]Plan Tron'!F506</f>
        <v>19.489999999999998</v>
      </c>
      <c r="L1726" s="242">
        <v>16.8</v>
      </c>
      <c r="M1726" s="9">
        <f t="shared" si="115"/>
        <v>22.76</v>
      </c>
      <c r="N1726" s="948">
        <v>0</v>
      </c>
      <c r="O1726" s="900">
        <f t="shared" si="117"/>
        <v>1</v>
      </c>
      <c r="P1726" s="901">
        <f t="shared" si="116"/>
        <v>22.76</v>
      </c>
      <c r="Q1726" s="902"/>
      <c r="R1726" s="874"/>
      <c r="S1726" s="841"/>
      <c r="T1726" s="854"/>
    </row>
    <row r="1727" spans="1:20">
      <c r="D1727" s="239" t="s">
        <v>5</v>
      </c>
      <c r="E1727" s="824"/>
      <c r="F1727" s="243"/>
      <c r="G1727" s="295" t="s">
        <v>1851</v>
      </c>
      <c r="H1727" s="606"/>
      <c r="I1727" s="235"/>
      <c r="J1727" s="242"/>
      <c r="K1727" s="242"/>
      <c r="L1727" s="242"/>
      <c r="M1727" s="9"/>
      <c r="N1727" s="948"/>
      <c r="O1727" s="900"/>
      <c r="P1727" s="901"/>
      <c r="Q1727" s="902"/>
      <c r="R1727" s="874"/>
      <c r="S1727" s="841"/>
      <c r="T1727" s="854"/>
    </row>
    <row r="1728" spans="1:20" s="610" customFormat="1">
      <c r="A1728" s="915"/>
      <c r="B1728" s="919" t="s">
        <v>2457</v>
      </c>
      <c r="C1728" s="913"/>
      <c r="D1728" s="239" t="s">
        <v>346</v>
      </c>
      <c r="E1728" s="606" t="s">
        <v>1896</v>
      </c>
      <c r="F1728" s="235"/>
      <c r="G1728" s="295" t="s">
        <v>1850</v>
      </c>
      <c r="H1728" s="606" t="s">
        <v>246</v>
      </c>
      <c r="I1728" s="235">
        <v>1</v>
      </c>
      <c r="J1728" s="242">
        <v>997.5</v>
      </c>
      <c r="K1728" s="9">
        <f>J1728*$S$3</f>
        <v>1306.7250000000001</v>
      </c>
      <c r="L1728" s="242">
        <v>16.8</v>
      </c>
      <c r="M1728" s="9">
        <f t="shared" si="115"/>
        <v>1526.25</v>
      </c>
      <c r="N1728" s="948">
        <v>0</v>
      </c>
      <c r="O1728" s="900">
        <f t="shared" si="117"/>
        <v>1</v>
      </c>
      <c r="P1728" s="901">
        <f t="shared" si="116"/>
        <v>1526.25</v>
      </c>
      <c r="Q1728" s="902"/>
      <c r="R1728" s="873"/>
      <c r="S1728" s="840"/>
      <c r="T1728" s="853"/>
    </row>
    <row r="1729" spans="1:25" s="344" customFormat="1" ht="25.5">
      <c r="A1729" s="915"/>
      <c r="B1729" s="919"/>
      <c r="C1729" s="913"/>
      <c r="D1729" s="239" t="s">
        <v>706</v>
      </c>
      <c r="E1729" s="805">
        <f>'[3]Plan Tron'!B507</f>
        <v>11762</v>
      </c>
      <c r="F1729" s="805" t="str">
        <f>'[3]Plan Tron'!C507</f>
        <v>SINAPI (INSUMO)</v>
      </c>
      <c r="G1729" s="643" t="str">
        <f>'[3]Plan Tron'!D507</f>
        <v xml:space="preserve">TORNEIRA CROMADA COM BICO PARA JARDIM/TANQUE 1/2 " OU 3/4 " (REF 1153) </v>
      </c>
      <c r="H1729" s="805" t="str">
        <f>'[3]Plan Tron'!E507</f>
        <v xml:space="preserve">UN </v>
      </c>
      <c r="I1729" s="235">
        <v>1</v>
      </c>
      <c r="J1729" s="242">
        <v>46.88</v>
      </c>
      <c r="K1729" s="242">
        <f>'[3]Plan Tron'!F507</f>
        <v>47.46</v>
      </c>
      <c r="L1729" s="242">
        <v>16.8</v>
      </c>
      <c r="M1729" s="9">
        <f t="shared" si="115"/>
        <v>55.43</v>
      </c>
      <c r="N1729" s="382">
        <v>0</v>
      </c>
      <c r="O1729" s="789">
        <f t="shared" si="117"/>
        <v>1</v>
      </c>
      <c r="P1729" s="863">
        <f t="shared" si="116"/>
        <v>55.43</v>
      </c>
      <c r="Q1729" s="874"/>
      <c r="R1729" s="874"/>
      <c r="S1729" s="841"/>
      <c r="T1729" s="854"/>
    </row>
    <row r="1730" spans="1:25">
      <c r="D1730" s="239"/>
      <c r="E1730" s="606"/>
      <c r="F1730" s="235"/>
      <c r="G1730" s="132"/>
      <c r="H1730" s="132"/>
      <c r="I1730" s="235"/>
      <c r="J1730" s="242"/>
      <c r="K1730" s="242"/>
      <c r="L1730" s="242"/>
      <c r="M1730" s="242"/>
      <c r="N1730" s="375"/>
      <c r="O1730" s="789"/>
      <c r="P1730" s="863"/>
      <c r="Q1730" s="874"/>
      <c r="R1730" s="874"/>
      <c r="S1730" s="841"/>
      <c r="T1730" s="854"/>
    </row>
    <row r="1731" spans="1:25">
      <c r="D1731" s="239"/>
      <c r="E1731" s="824"/>
      <c r="F1731" s="243"/>
      <c r="G1731" s="259"/>
      <c r="H1731" s="132"/>
      <c r="I1731" s="235"/>
      <c r="J1731" s="246"/>
      <c r="K1731" s="246"/>
      <c r="L1731" s="246"/>
      <c r="M1731" s="246"/>
      <c r="N1731" s="380"/>
      <c r="O1731" s="789"/>
      <c r="P1731" s="863"/>
      <c r="Q1731" s="874"/>
      <c r="R1731" s="874"/>
      <c r="S1731" s="841"/>
      <c r="T1731" s="854"/>
    </row>
    <row r="1732" spans="1:25" s="299" customFormat="1">
      <c r="A1732" s="918"/>
      <c r="B1732" s="922"/>
      <c r="C1732" s="924"/>
      <c r="D1732" s="298"/>
      <c r="E1732" s="297"/>
      <c r="F1732" s="298"/>
      <c r="G1732" s="297" t="s">
        <v>70</v>
      </c>
      <c r="H1732" s="298">
        <f>D1685</f>
        <v>38</v>
      </c>
      <c r="I1732" s="298"/>
      <c r="J1732" s="301"/>
      <c r="K1732" s="301"/>
      <c r="L1732" s="298"/>
      <c r="M1732" s="298"/>
      <c r="N1732" s="381"/>
      <c r="O1732" s="789"/>
      <c r="P1732" s="863">
        <f>SUM(P1691:P1729)</f>
        <v>17267.159999999996</v>
      </c>
      <c r="Q1732" s="874"/>
      <c r="R1732" s="874"/>
      <c r="S1732" s="841"/>
      <c r="T1732" s="854"/>
    </row>
    <row r="1733" spans="1:25" s="801" customFormat="1">
      <c r="A1733" s="918"/>
      <c r="B1733" s="922"/>
      <c r="C1733" s="924"/>
      <c r="D1733" s="108"/>
      <c r="E1733" s="802"/>
      <c r="F1733" s="108"/>
      <c r="G1733" s="802" t="s">
        <v>1993</v>
      </c>
      <c r="H1733" s="108"/>
      <c r="I1733" s="108"/>
      <c r="J1733" s="108"/>
      <c r="K1733" s="108"/>
      <c r="L1733" s="108"/>
      <c r="M1733" s="108"/>
      <c r="N1733" s="803"/>
      <c r="O1733" s="803"/>
      <c r="P1733" s="865">
        <f>SUM(P11:P1732)/2</f>
        <v>5185995.6100000022</v>
      </c>
      <c r="Q1733" s="879"/>
      <c r="R1733" s="879"/>
      <c r="S1733" s="847"/>
      <c r="T1733" s="860"/>
    </row>
    <row r="1734" spans="1:25">
      <c r="D1734" s="306"/>
      <c r="E1734" s="811"/>
      <c r="F1734" s="306"/>
      <c r="G1734" s="306"/>
      <c r="H1734" s="306"/>
      <c r="I1734" s="306"/>
      <c r="J1734" s="386"/>
      <c r="K1734" s="804"/>
      <c r="L1734" s="306"/>
      <c r="M1734" s="306"/>
      <c r="P1734" s="306"/>
      <c r="Q1734" s="871"/>
      <c r="R1734" s="871"/>
    </row>
    <row r="1735" spans="1:25">
      <c r="J1735" s="344"/>
      <c r="K1735" s="318"/>
      <c r="M1735" s="344"/>
      <c r="N1735" s="1053"/>
      <c r="O1735" s="1053"/>
      <c r="P1735" s="386"/>
      <c r="Q1735" s="854"/>
      <c r="R1735" s="854"/>
      <c r="S1735" s="848"/>
      <c r="T1735" s="854"/>
      <c r="U1735" s="387"/>
      <c r="V1735" s="1054"/>
      <c r="W1735" s="1054"/>
      <c r="X1735" s="1054"/>
      <c r="Y1735" s="387"/>
    </row>
    <row r="1736" spans="1:25">
      <c r="J1736" s="344"/>
      <c r="K1736" s="318"/>
      <c r="M1736" s="344"/>
      <c r="N1736" s="1053"/>
      <c r="O1736" s="1053"/>
      <c r="P1736" s="386"/>
      <c r="Q1736" s="854"/>
      <c r="R1736" s="854"/>
      <c r="S1736" s="848"/>
      <c r="T1736" s="854"/>
      <c r="U1736" s="387"/>
      <c r="V1736" s="1054"/>
      <c r="W1736" s="1054"/>
      <c r="X1736" s="1054"/>
      <c r="Y1736" s="387"/>
    </row>
    <row r="1737" spans="1:25">
      <c r="J1737" s="344"/>
      <c r="K1737" s="318"/>
      <c r="M1737" s="344"/>
      <c r="N1737" s="1053"/>
      <c r="O1737" s="1053"/>
      <c r="P1737" s="386"/>
      <c r="Q1737" s="854"/>
      <c r="R1737" s="854"/>
      <c r="S1737" s="848"/>
      <c r="T1737" s="854"/>
      <c r="U1737" s="387"/>
      <c r="V1737" s="1054"/>
      <c r="W1737" s="1054"/>
      <c r="X1737" s="1054"/>
      <c r="Y1737" s="387"/>
    </row>
    <row r="1738" spans="1:25">
      <c r="P1738" s="306"/>
    </row>
    <row r="1739" spans="1:25">
      <c r="P1739" s="306"/>
    </row>
    <row r="1740" spans="1:25">
      <c r="P1740" s="306"/>
    </row>
    <row r="1741" spans="1:25">
      <c r="P1741" s="306"/>
    </row>
    <row r="1742" spans="1:25">
      <c r="P1742" s="306"/>
    </row>
    <row r="1743" spans="1:25">
      <c r="P1743" s="306"/>
    </row>
    <row r="1744" spans="1:25">
      <c r="P1744" s="306"/>
    </row>
    <row r="1745" spans="16:16">
      <c r="P1745" s="306"/>
    </row>
    <row r="1746" spans="16:16">
      <c r="P1746" s="306"/>
    </row>
    <row r="1747" spans="16:16">
      <c r="P1747" s="306"/>
    </row>
    <row r="1748" spans="16:16">
      <c r="P1748" s="306"/>
    </row>
    <row r="1749" spans="16:16">
      <c r="P1749" s="306"/>
    </row>
    <row r="1750" spans="16:16">
      <c r="P1750" s="306"/>
    </row>
    <row r="1751" spans="16:16">
      <c r="P1751" s="306"/>
    </row>
    <row r="1752" spans="16:16">
      <c r="P1752" s="306"/>
    </row>
    <row r="1753" spans="16:16">
      <c r="P1753" s="306"/>
    </row>
    <row r="1754" spans="16:16">
      <c r="P1754" s="306"/>
    </row>
    <row r="1755" spans="16:16">
      <c r="P1755" s="306"/>
    </row>
    <row r="1756" spans="16:16">
      <c r="P1756" s="306"/>
    </row>
    <row r="1757" spans="16:16">
      <c r="P1757" s="306"/>
    </row>
    <row r="1758" spans="16:16">
      <c r="P1758" s="306"/>
    </row>
    <row r="1759" spans="16:16">
      <c r="P1759" s="306"/>
    </row>
    <row r="1760" spans="16:16">
      <c r="P1760" s="306"/>
    </row>
    <row r="1761" spans="16:16">
      <c r="P1761" s="306"/>
    </row>
    <row r="1762" spans="16:16">
      <c r="P1762" s="306"/>
    </row>
    <row r="1763" spans="16:16">
      <c r="P1763" s="306"/>
    </row>
    <row r="1764" spans="16:16">
      <c r="P1764" s="306"/>
    </row>
    <row r="1765" spans="16:16">
      <c r="P1765" s="306"/>
    </row>
    <row r="1766" spans="16:16">
      <c r="P1766" s="306"/>
    </row>
    <row r="1767" spans="16:16">
      <c r="P1767" s="306"/>
    </row>
    <row r="1768" spans="16:16">
      <c r="P1768" s="306"/>
    </row>
    <row r="1769" spans="16:16">
      <c r="P1769" s="306"/>
    </row>
    <row r="1770" spans="16:16">
      <c r="P1770" s="306"/>
    </row>
    <row r="1771" spans="16:16">
      <c r="P1771" s="306"/>
    </row>
    <row r="1772" spans="16:16">
      <c r="P1772" s="306"/>
    </row>
    <row r="1773" spans="16:16">
      <c r="P1773" s="306"/>
    </row>
    <row r="1774" spans="16:16">
      <c r="P1774" s="306"/>
    </row>
    <row r="1775" spans="16:16">
      <c r="P1775" s="306"/>
    </row>
    <row r="1776" spans="16:16">
      <c r="P1776" s="306"/>
    </row>
    <row r="1777" spans="16:16">
      <c r="P1777" s="306"/>
    </row>
    <row r="1778" spans="16:16">
      <c r="P1778" s="306"/>
    </row>
    <row r="1779" spans="16:16">
      <c r="P1779" s="306"/>
    </row>
    <row r="1780" spans="16:16">
      <c r="P1780" s="306"/>
    </row>
    <row r="1781" spans="16:16">
      <c r="P1781" s="306"/>
    </row>
    <row r="1782" spans="16:16">
      <c r="P1782" s="306"/>
    </row>
    <row r="1783" spans="16:16">
      <c r="P1783" s="306"/>
    </row>
    <row r="1784" spans="16:16">
      <c r="P1784" s="306"/>
    </row>
    <row r="1785" spans="16:16">
      <c r="P1785" s="306"/>
    </row>
    <row r="1786" spans="16:16">
      <c r="P1786" s="306"/>
    </row>
    <row r="1787" spans="16:16">
      <c r="P1787" s="306"/>
    </row>
    <row r="1788" spans="16:16">
      <c r="P1788" s="306"/>
    </row>
    <row r="1789" spans="16:16">
      <c r="P1789" s="306"/>
    </row>
    <row r="1790" spans="16:16">
      <c r="P1790" s="306"/>
    </row>
    <row r="1791" spans="16:16">
      <c r="P1791" s="306"/>
    </row>
    <row r="1792" spans="16:16">
      <c r="P1792" s="306"/>
    </row>
    <row r="1793" spans="16:16">
      <c r="P1793" s="306"/>
    </row>
    <row r="1794" spans="16:16">
      <c r="P1794" s="306"/>
    </row>
    <row r="1795" spans="16:16">
      <c r="P1795" s="306"/>
    </row>
    <row r="1796" spans="16:16">
      <c r="P1796" s="306"/>
    </row>
    <row r="1797" spans="16:16">
      <c r="P1797" s="306"/>
    </row>
    <row r="1798" spans="16:16">
      <c r="P1798" s="306"/>
    </row>
    <row r="1799" spans="16:16">
      <c r="P1799" s="306"/>
    </row>
    <row r="1800" spans="16:16">
      <c r="P1800" s="306"/>
    </row>
    <row r="1801" spans="16:16">
      <c r="P1801" s="306"/>
    </row>
    <row r="1802" spans="16:16">
      <c r="P1802" s="306"/>
    </row>
    <row r="1803" spans="16:16">
      <c r="P1803" s="306"/>
    </row>
    <row r="1804" spans="16:16">
      <c r="P1804" s="306"/>
    </row>
    <row r="1805" spans="16:16">
      <c r="P1805" s="306"/>
    </row>
    <row r="1806" spans="16:16">
      <c r="P1806" s="306"/>
    </row>
    <row r="1807" spans="16:16">
      <c r="P1807" s="306"/>
    </row>
    <row r="1808" spans="16:16">
      <c r="P1808" s="306"/>
    </row>
    <row r="1809" spans="16:16">
      <c r="P1809" s="306"/>
    </row>
    <row r="1810" spans="16:16">
      <c r="P1810" s="306"/>
    </row>
    <row r="1811" spans="16:16">
      <c r="P1811" s="306"/>
    </row>
    <row r="1812" spans="16:16">
      <c r="P1812" s="306"/>
    </row>
    <row r="1813" spans="16:16">
      <c r="P1813" s="306"/>
    </row>
    <row r="1814" spans="16:16">
      <c r="P1814" s="306"/>
    </row>
    <row r="1815" spans="16:16">
      <c r="P1815" s="306"/>
    </row>
    <row r="1816" spans="16:16">
      <c r="P1816" s="306"/>
    </row>
    <row r="1817" spans="16:16">
      <c r="P1817" s="306"/>
    </row>
    <row r="1818" spans="16:16">
      <c r="P1818" s="306"/>
    </row>
    <row r="1819" spans="16:16">
      <c r="P1819" s="306"/>
    </row>
    <row r="1820" spans="16:16">
      <c r="P1820" s="306"/>
    </row>
    <row r="1821" spans="16:16">
      <c r="P1821" s="306"/>
    </row>
    <row r="1822" spans="16:16">
      <c r="P1822" s="306"/>
    </row>
    <row r="1823" spans="16:16">
      <c r="P1823" s="306"/>
    </row>
    <row r="1824" spans="16:16">
      <c r="P1824" s="306"/>
    </row>
    <row r="1825" spans="16:16">
      <c r="P1825" s="306"/>
    </row>
    <row r="1826" spans="16:16">
      <c r="P1826" s="306"/>
    </row>
    <row r="1827" spans="16:16">
      <c r="P1827" s="306"/>
    </row>
    <row r="1828" spans="16:16">
      <c r="P1828" s="306"/>
    </row>
    <row r="1829" spans="16:16">
      <c r="P1829" s="306"/>
    </row>
    <row r="1830" spans="16:16">
      <c r="P1830" s="306"/>
    </row>
    <row r="1831" spans="16:16">
      <c r="P1831" s="306"/>
    </row>
    <row r="1832" spans="16:16">
      <c r="P1832" s="306"/>
    </row>
    <row r="1833" spans="16:16">
      <c r="P1833" s="306"/>
    </row>
    <row r="1834" spans="16:16">
      <c r="P1834" s="306"/>
    </row>
    <row r="1835" spans="16:16">
      <c r="P1835" s="306"/>
    </row>
    <row r="1836" spans="16:16">
      <c r="P1836" s="306"/>
    </row>
    <row r="1837" spans="16:16">
      <c r="P1837" s="306"/>
    </row>
    <row r="1838" spans="16:16">
      <c r="P1838" s="306"/>
    </row>
    <row r="1839" spans="16:16">
      <c r="P1839" s="306"/>
    </row>
    <row r="1840" spans="16:16">
      <c r="P1840" s="306"/>
    </row>
    <row r="1841" spans="16:16">
      <c r="P1841" s="306"/>
    </row>
    <row r="1842" spans="16:16">
      <c r="P1842" s="306"/>
    </row>
    <row r="1843" spans="16:16">
      <c r="P1843" s="306"/>
    </row>
    <row r="1844" spans="16:16">
      <c r="P1844" s="306"/>
    </row>
    <row r="1845" spans="16:16">
      <c r="P1845" s="306"/>
    </row>
    <row r="1846" spans="16:16">
      <c r="P1846" s="306"/>
    </row>
    <row r="1847" spans="16:16">
      <c r="P1847" s="306"/>
    </row>
    <row r="1848" spans="16:16">
      <c r="P1848" s="306"/>
    </row>
    <row r="1849" spans="16:16">
      <c r="P1849" s="306"/>
    </row>
    <row r="1850" spans="16:16">
      <c r="P1850" s="306"/>
    </row>
    <row r="1851" spans="16:16">
      <c r="P1851" s="306"/>
    </row>
    <row r="1852" spans="16:16">
      <c r="P1852" s="306"/>
    </row>
    <row r="1853" spans="16:16">
      <c r="P1853" s="306"/>
    </row>
    <row r="1854" spans="16:16">
      <c r="P1854" s="306"/>
    </row>
    <row r="1855" spans="16:16">
      <c r="P1855" s="306"/>
    </row>
    <row r="1856" spans="16:16">
      <c r="P1856" s="306"/>
    </row>
    <row r="1857" spans="16:16">
      <c r="P1857" s="306"/>
    </row>
    <row r="1858" spans="16:16">
      <c r="P1858" s="306"/>
    </row>
    <row r="1859" spans="16:16">
      <c r="P1859" s="306"/>
    </row>
    <row r="1860" spans="16:16">
      <c r="P1860" s="306"/>
    </row>
    <row r="1861" spans="16:16">
      <c r="P1861" s="306"/>
    </row>
    <row r="1862" spans="16:16">
      <c r="P1862" s="306"/>
    </row>
    <row r="1863" spans="16:16">
      <c r="P1863" s="306"/>
    </row>
    <row r="1864" spans="16:16">
      <c r="P1864" s="306"/>
    </row>
    <row r="1865" spans="16:16">
      <c r="P1865" s="306"/>
    </row>
    <row r="1866" spans="16:16">
      <c r="P1866" s="306"/>
    </row>
    <row r="1867" spans="16:16">
      <c r="P1867" s="306"/>
    </row>
    <row r="1868" spans="16:16">
      <c r="P1868" s="306"/>
    </row>
    <row r="1869" spans="16:16">
      <c r="P1869" s="306"/>
    </row>
    <row r="1870" spans="16:16">
      <c r="P1870" s="306"/>
    </row>
    <row r="1871" spans="16:16">
      <c r="P1871" s="306"/>
    </row>
    <row r="1872" spans="16:16">
      <c r="P1872" s="306"/>
    </row>
    <row r="1873" spans="16:16">
      <c r="P1873" s="306"/>
    </row>
    <row r="1874" spans="16:16">
      <c r="P1874" s="306"/>
    </row>
    <row r="1875" spans="16:16">
      <c r="P1875" s="306"/>
    </row>
    <row r="1876" spans="16:16">
      <c r="P1876" s="306"/>
    </row>
    <row r="1877" spans="16:16">
      <c r="P1877" s="306"/>
    </row>
    <row r="1878" spans="16:16">
      <c r="P1878" s="306"/>
    </row>
    <row r="1879" spans="16:16">
      <c r="P1879" s="306"/>
    </row>
    <row r="1880" spans="16:16">
      <c r="P1880" s="306"/>
    </row>
    <row r="1881" spans="16:16">
      <c r="P1881" s="306"/>
    </row>
    <row r="1882" spans="16:16">
      <c r="P1882" s="306"/>
    </row>
    <row r="1883" spans="16:16">
      <c r="P1883" s="306"/>
    </row>
    <row r="1884" spans="16:16">
      <c r="P1884" s="306"/>
    </row>
    <row r="1885" spans="16:16">
      <c r="P1885" s="306"/>
    </row>
    <row r="1886" spans="16:16">
      <c r="P1886" s="306"/>
    </row>
    <row r="1887" spans="16:16">
      <c r="P1887" s="306"/>
    </row>
    <row r="1888" spans="16:16">
      <c r="P1888" s="306"/>
    </row>
    <row r="1889" spans="16:16">
      <c r="P1889" s="306"/>
    </row>
    <row r="1890" spans="16:16">
      <c r="P1890" s="306"/>
    </row>
    <row r="1891" spans="16:16">
      <c r="P1891" s="306"/>
    </row>
    <row r="1892" spans="16:16">
      <c r="P1892" s="306"/>
    </row>
    <row r="1893" spans="16:16">
      <c r="P1893" s="306"/>
    </row>
    <row r="1894" spans="16:16">
      <c r="P1894" s="306"/>
    </row>
    <row r="1895" spans="16:16">
      <c r="P1895" s="306"/>
    </row>
    <row r="1896" spans="16:16">
      <c r="P1896" s="306"/>
    </row>
    <row r="1897" spans="16:16">
      <c r="P1897" s="306"/>
    </row>
    <row r="1898" spans="16:16">
      <c r="P1898" s="306"/>
    </row>
    <row r="1899" spans="16:16">
      <c r="P1899" s="306"/>
    </row>
    <row r="1900" spans="16:16">
      <c r="P1900" s="306"/>
    </row>
    <row r="1901" spans="16:16">
      <c r="P1901" s="306"/>
    </row>
    <row r="1902" spans="16:16">
      <c r="P1902" s="306"/>
    </row>
    <row r="1903" spans="16:16">
      <c r="P1903" s="306"/>
    </row>
    <row r="1904" spans="16:16">
      <c r="P1904" s="306"/>
    </row>
    <row r="1905" spans="16:16">
      <c r="P1905" s="306"/>
    </row>
    <row r="1906" spans="16:16">
      <c r="P1906" s="306"/>
    </row>
    <row r="1907" spans="16:16">
      <c r="P1907" s="306"/>
    </row>
    <row r="1908" spans="16:16">
      <c r="P1908" s="306"/>
    </row>
    <row r="1909" spans="16:16">
      <c r="P1909" s="306"/>
    </row>
    <row r="1910" spans="16:16">
      <c r="P1910" s="306"/>
    </row>
    <row r="1911" spans="16:16">
      <c r="P1911" s="306"/>
    </row>
    <row r="1912" spans="16:16">
      <c r="P1912" s="306"/>
    </row>
    <row r="1913" spans="16:16">
      <c r="P1913" s="306"/>
    </row>
    <row r="1914" spans="16:16">
      <c r="P1914" s="306"/>
    </row>
    <row r="1915" spans="16:16">
      <c r="P1915" s="306"/>
    </row>
    <row r="1916" spans="16:16">
      <c r="P1916" s="306"/>
    </row>
    <row r="1917" spans="16:16">
      <c r="P1917" s="306"/>
    </row>
    <row r="1918" spans="16:16">
      <c r="P1918" s="306"/>
    </row>
    <row r="1919" spans="16:16">
      <c r="P1919" s="306"/>
    </row>
    <row r="1920" spans="16:16">
      <c r="P1920" s="306"/>
    </row>
    <row r="1921" spans="16:16">
      <c r="P1921" s="306"/>
    </row>
    <row r="1922" spans="16:16">
      <c r="P1922" s="306"/>
    </row>
    <row r="1923" spans="16:16">
      <c r="P1923" s="306"/>
    </row>
    <row r="1924" spans="16:16">
      <c r="P1924" s="306"/>
    </row>
    <row r="1925" spans="16:16">
      <c r="P1925" s="306"/>
    </row>
    <row r="1926" spans="16:16">
      <c r="P1926" s="306"/>
    </row>
    <row r="1927" spans="16:16">
      <c r="P1927" s="306"/>
    </row>
    <row r="1928" spans="16:16">
      <c r="P1928" s="306"/>
    </row>
    <row r="1929" spans="16:16">
      <c r="P1929" s="306"/>
    </row>
    <row r="1930" spans="16:16">
      <c r="P1930" s="306"/>
    </row>
    <row r="1931" spans="16:16">
      <c r="P1931" s="306"/>
    </row>
    <row r="1932" spans="16:16">
      <c r="P1932" s="306"/>
    </row>
    <row r="1933" spans="16:16">
      <c r="P1933" s="306"/>
    </row>
    <row r="1934" spans="16:16">
      <c r="P1934" s="306"/>
    </row>
    <row r="1935" spans="16:16">
      <c r="P1935" s="306"/>
    </row>
    <row r="1936" spans="16:16">
      <c r="P1936" s="306"/>
    </row>
    <row r="1937" spans="16:16">
      <c r="P1937" s="306"/>
    </row>
    <row r="1938" spans="16:16">
      <c r="P1938" s="306"/>
    </row>
    <row r="1939" spans="16:16">
      <c r="P1939" s="306"/>
    </row>
    <row r="1940" spans="16:16">
      <c r="P1940" s="306"/>
    </row>
    <row r="1941" spans="16:16">
      <c r="P1941" s="306"/>
    </row>
    <row r="1942" spans="16:16">
      <c r="P1942" s="306"/>
    </row>
    <row r="1943" spans="16:16">
      <c r="P1943" s="306"/>
    </row>
    <row r="1944" spans="16:16">
      <c r="P1944" s="306"/>
    </row>
    <row r="1945" spans="16:16">
      <c r="P1945" s="306"/>
    </row>
    <row r="1946" spans="16:16">
      <c r="P1946" s="306"/>
    </row>
    <row r="1947" spans="16:16">
      <c r="P1947" s="306"/>
    </row>
    <row r="1948" spans="16:16">
      <c r="P1948" s="306"/>
    </row>
    <row r="1949" spans="16:16">
      <c r="P1949" s="306"/>
    </row>
    <row r="1950" spans="16:16">
      <c r="P1950" s="306"/>
    </row>
    <row r="1951" spans="16:16">
      <c r="P1951" s="306"/>
    </row>
    <row r="1952" spans="16:16">
      <c r="P1952" s="306"/>
    </row>
    <row r="1953" spans="16:16">
      <c r="P1953" s="306"/>
    </row>
    <row r="1954" spans="16:16">
      <c r="P1954" s="306"/>
    </row>
    <row r="1955" spans="16:16">
      <c r="P1955" s="306"/>
    </row>
    <row r="1956" spans="16:16">
      <c r="P1956" s="306"/>
    </row>
    <row r="1957" spans="16:16">
      <c r="P1957" s="306"/>
    </row>
    <row r="1958" spans="16:16">
      <c r="P1958" s="306"/>
    </row>
    <row r="1959" spans="16:16">
      <c r="P1959" s="306"/>
    </row>
    <row r="1960" spans="16:16">
      <c r="P1960" s="306"/>
    </row>
    <row r="1961" spans="16:16">
      <c r="P1961" s="306"/>
    </row>
    <row r="1962" spans="16:16">
      <c r="P1962" s="306"/>
    </row>
    <row r="1963" spans="16:16">
      <c r="P1963" s="306"/>
    </row>
    <row r="1964" spans="16:16">
      <c r="P1964" s="306"/>
    </row>
    <row r="1965" spans="16:16">
      <c r="P1965" s="306"/>
    </row>
    <row r="1966" spans="16:16">
      <c r="P1966" s="306"/>
    </row>
    <row r="1967" spans="16:16">
      <c r="P1967" s="306"/>
    </row>
    <row r="1968" spans="16:16">
      <c r="P1968" s="306"/>
    </row>
    <row r="1969" spans="16:16">
      <c r="P1969" s="306"/>
    </row>
    <row r="1970" spans="16:16">
      <c r="P1970" s="306"/>
    </row>
    <row r="1971" spans="16:16">
      <c r="P1971" s="306"/>
    </row>
    <row r="1972" spans="16:16">
      <c r="P1972" s="306"/>
    </row>
    <row r="1973" spans="16:16">
      <c r="P1973" s="306"/>
    </row>
    <row r="1974" spans="16:16">
      <c r="P1974" s="306"/>
    </row>
    <row r="1975" spans="16:16">
      <c r="P1975" s="306"/>
    </row>
    <row r="1976" spans="16:16">
      <c r="P1976" s="306"/>
    </row>
    <row r="1977" spans="16:16">
      <c r="P1977" s="306"/>
    </row>
    <row r="1978" spans="16:16">
      <c r="P1978" s="306"/>
    </row>
    <row r="1979" spans="16:16">
      <c r="P1979" s="306"/>
    </row>
    <row r="1980" spans="16:16">
      <c r="P1980" s="306"/>
    </row>
    <row r="1981" spans="16:16">
      <c r="P1981" s="306"/>
    </row>
    <row r="1982" spans="16:16">
      <c r="P1982" s="306"/>
    </row>
    <row r="1983" spans="16:16">
      <c r="P1983" s="306"/>
    </row>
    <row r="1984" spans="16:16">
      <c r="P1984" s="306"/>
    </row>
    <row r="1985" spans="16:16">
      <c r="P1985" s="306"/>
    </row>
    <row r="1986" spans="16:16">
      <c r="P1986" s="306"/>
    </row>
    <row r="1987" spans="16:16">
      <c r="P1987" s="306"/>
    </row>
    <row r="1988" spans="16:16">
      <c r="P1988" s="306"/>
    </row>
    <row r="1989" spans="16:16">
      <c r="P1989" s="306"/>
    </row>
    <row r="1990" spans="16:16">
      <c r="P1990" s="306"/>
    </row>
    <row r="1991" spans="16:16">
      <c r="P1991" s="306"/>
    </row>
    <row r="1992" spans="16:16">
      <c r="P1992" s="306"/>
    </row>
    <row r="1993" spans="16:16">
      <c r="P1993" s="306"/>
    </row>
    <row r="1994" spans="16:16">
      <c r="P1994" s="306"/>
    </row>
    <row r="1995" spans="16:16">
      <c r="P1995" s="306"/>
    </row>
    <row r="1996" spans="16:16">
      <c r="P1996" s="306"/>
    </row>
    <row r="1997" spans="16:16">
      <c r="P1997" s="306"/>
    </row>
    <row r="1998" spans="16:16">
      <c r="P1998" s="306"/>
    </row>
    <row r="1999" spans="16:16">
      <c r="P1999" s="306"/>
    </row>
    <row r="2000" spans="16:16">
      <c r="P2000" s="306"/>
    </row>
    <row r="2001" spans="16:16">
      <c r="P2001" s="306"/>
    </row>
    <row r="2002" spans="16:16">
      <c r="P2002" s="306"/>
    </row>
    <row r="2003" spans="16:16">
      <c r="P2003" s="306"/>
    </row>
    <row r="2004" spans="16:16">
      <c r="P2004" s="306"/>
    </row>
    <row r="2005" spans="16:16">
      <c r="P2005" s="306"/>
    </row>
    <row r="2006" spans="16:16">
      <c r="P2006" s="306"/>
    </row>
    <row r="2007" spans="16:16">
      <c r="P2007" s="306"/>
    </row>
    <row r="2008" spans="16:16">
      <c r="P2008" s="306"/>
    </row>
    <row r="2009" spans="16:16">
      <c r="P2009" s="306"/>
    </row>
    <row r="2010" spans="16:16">
      <c r="P2010" s="306"/>
    </row>
    <row r="2011" spans="16:16">
      <c r="P2011" s="306"/>
    </row>
    <row r="2012" spans="16:16">
      <c r="P2012" s="306"/>
    </row>
    <row r="2013" spans="16:16">
      <c r="P2013" s="306"/>
    </row>
    <row r="2014" spans="16:16">
      <c r="P2014" s="306"/>
    </row>
    <row r="2015" spans="16:16">
      <c r="P2015" s="306"/>
    </row>
    <row r="2016" spans="16:16">
      <c r="P2016" s="306"/>
    </row>
    <row r="2017" spans="16:16">
      <c r="P2017" s="306"/>
    </row>
    <row r="2018" spans="16:16">
      <c r="P2018" s="306"/>
    </row>
    <row r="2019" spans="16:16">
      <c r="P2019" s="306"/>
    </row>
    <row r="2020" spans="16:16">
      <c r="P2020" s="306"/>
    </row>
    <row r="2021" spans="16:16">
      <c r="P2021" s="306"/>
    </row>
    <row r="2022" spans="16:16">
      <c r="P2022" s="306"/>
    </row>
    <row r="2023" spans="16:16">
      <c r="P2023" s="306"/>
    </row>
    <row r="2024" spans="16:16">
      <c r="P2024" s="306"/>
    </row>
    <row r="2025" spans="16:16">
      <c r="P2025" s="306"/>
    </row>
    <row r="2026" spans="16:16">
      <c r="P2026" s="306"/>
    </row>
    <row r="2027" spans="16:16">
      <c r="P2027" s="306"/>
    </row>
    <row r="2028" spans="16:16">
      <c r="P2028" s="306"/>
    </row>
    <row r="2029" spans="16:16">
      <c r="P2029" s="306"/>
    </row>
    <row r="2030" spans="16:16">
      <c r="P2030" s="306"/>
    </row>
    <row r="2031" spans="16:16">
      <c r="P2031" s="306"/>
    </row>
    <row r="2032" spans="16:16">
      <c r="P2032" s="306"/>
    </row>
    <row r="2033" spans="16:16">
      <c r="P2033" s="306"/>
    </row>
    <row r="2034" spans="16:16">
      <c r="P2034" s="306"/>
    </row>
    <row r="2035" spans="16:16">
      <c r="P2035" s="306"/>
    </row>
    <row r="2036" spans="16:16">
      <c r="P2036" s="306"/>
    </row>
    <row r="2037" spans="16:16">
      <c r="P2037" s="306"/>
    </row>
    <row r="2038" spans="16:16">
      <c r="P2038" s="306"/>
    </row>
    <row r="2039" spans="16:16">
      <c r="P2039" s="306"/>
    </row>
    <row r="2040" spans="16:16">
      <c r="P2040" s="306"/>
    </row>
    <row r="2041" spans="16:16">
      <c r="P2041" s="306"/>
    </row>
    <row r="2042" spans="16:16">
      <c r="P2042" s="306"/>
    </row>
    <row r="2043" spans="16:16">
      <c r="P2043" s="306"/>
    </row>
    <row r="2044" spans="16:16">
      <c r="P2044" s="306"/>
    </row>
    <row r="2045" spans="16:16">
      <c r="P2045" s="306"/>
    </row>
    <row r="2046" spans="16:16">
      <c r="P2046" s="306"/>
    </row>
    <row r="2047" spans="16:16">
      <c r="P2047" s="306"/>
    </row>
    <row r="2048" spans="16:16">
      <c r="P2048" s="306"/>
    </row>
    <row r="2049" spans="16:16">
      <c r="P2049" s="306"/>
    </row>
    <row r="2050" spans="16:16">
      <c r="P2050" s="306"/>
    </row>
    <row r="2051" spans="16:16">
      <c r="P2051" s="306"/>
    </row>
    <row r="2052" spans="16:16">
      <c r="P2052" s="306"/>
    </row>
    <row r="2053" spans="16:16">
      <c r="P2053" s="306"/>
    </row>
  </sheetData>
  <mergeCells count="14">
    <mergeCell ref="U37:Y37"/>
    <mergeCell ref="V72:Y72"/>
    <mergeCell ref="E720:E728"/>
    <mergeCell ref="E732:E739"/>
    <mergeCell ref="E926:E931"/>
    <mergeCell ref="P732:P739"/>
    <mergeCell ref="P720:P728"/>
    <mergeCell ref="P926:P931"/>
    <mergeCell ref="N1737:O1737"/>
    <mergeCell ref="V1737:X1737"/>
    <mergeCell ref="N1735:O1735"/>
    <mergeCell ref="V1735:X1735"/>
    <mergeCell ref="N1736:O1736"/>
    <mergeCell ref="V1736:X1736"/>
  </mergeCells>
  <conditionalFormatting sqref="L449:L450">
    <cfRule type="expression" dxfId="1" priority="3">
      <formula>IF(ISBLANK($H451),NOT(ISBLANK($J451)),IF(ISNUMBER($J451),ABS($J451-ROUND($J451,2))&gt;0.000001,TRUE))</formula>
    </cfRule>
  </conditionalFormatting>
  <conditionalFormatting sqref="J711:L712">
    <cfRule type="expression" dxfId="0" priority="2">
      <formula>IF(ISBLANK($H711),NOT(ISBLANK($J711)),IF(ISNUMBER($J711),ABS($J711-ROUND($J711,2))&gt;0.000001,TRUE))</formula>
    </cfRule>
  </conditionalFormatting>
  <pageMargins left="0.11811023622047245" right="0.11811023622047245" top="0.78740157480314965" bottom="0.78740157480314965" header="0.31496062992125984" footer="0.31496062992125984"/>
  <pageSetup paperSize="9" scale="70" fitToHeight="0" orientation="landscape" r:id="rId1"/>
  <headerFooter>
    <oddFooter>&amp;L&amp;A&amp;Rpagina &amp;P de &amp;N</oddFooter>
  </headerFooter>
  <ignoredErrors>
    <ignoredError sqref="I476:I479 I343 K562 K9 D9:J9 L9:P9 I231:I232" unlockedFormula="1"/>
    <ignoredError sqref="E768:E770 J1214:J1216 E174" numberStoredAsText="1"/>
    <ignoredError sqref="K64" formula="1"/>
  </ignoredErrors>
  <drawing r:id="rId2"/>
</worksheet>
</file>

<file path=xl/worksheets/sheet3.xml><?xml version="1.0" encoding="utf-8"?>
<worksheet xmlns="http://schemas.openxmlformats.org/spreadsheetml/2006/main" xmlns:r="http://schemas.openxmlformats.org/officeDocument/2006/relationships">
  <dimension ref="A1:E18"/>
  <sheetViews>
    <sheetView view="pageBreakPreview" zoomScaleSheetLayoutView="100" workbookViewId="0">
      <selection activeCell="B12" sqref="B12"/>
    </sheetView>
  </sheetViews>
  <sheetFormatPr defaultRowHeight="12.75"/>
  <cols>
    <col min="1" max="1" width="9.140625" style="1021"/>
    <col min="2" max="2" width="91.85546875" style="1021" customWidth="1"/>
    <col min="3" max="3" width="8.5703125" style="1021" customWidth="1"/>
    <col min="4" max="4" width="9.5703125" style="1021" customWidth="1"/>
    <col min="5" max="5" width="24.7109375" style="1021" customWidth="1"/>
    <col min="6" max="257" width="9.140625" style="1021"/>
    <col min="258" max="258" width="91.85546875" style="1021" customWidth="1"/>
    <col min="259" max="260" width="9.140625" style="1021"/>
    <col min="261" max="261" width="28" style="1021" customWidth="1"/>
    <col min="262" max="513" width="9.140625" style="1021"/>
    <col min="514" max="514" width="91.85546875" style="1021" customWidth="1"/>
    <col min="515" max="516" width="9.140625" style="1021"/>
    <col min="517" max="517" width="28" style="1021" customWidth="1"/>
    <col min="518" max="769" width="9.140625" style="1021"/>
    <col min="770" max="770" width="91.85546875" style="1021" customWidth="1"/>
    <col min="771" max="772" width="9.140625" style="1021"/>
    <col min="773" max="773" width="28" style="1021" customWidth="1"/>
    <col min="774" max="1025" width="9.140625" style="1021"/>
    <col min="1026" max="1026" width="91.85546875" style="1021" customWidth="1"/>
    <col min="1027" max="1028" width="9.140625" style="1021"/>
    <col min="1029" max="1029" width="28" style="1021" customWidth="1"/>
    <col min="1030" max="1281" width="9.140625" style="1021"/>
    <col min="1282" max="1282" width="91.85546875" style="1021" customWidth="1"/>
    <col min="1283" max="1284" width="9.140625" style="1021"/>
    <col min="1285" max="1285" width="28" style="1021" customWidth="1"/>
    <col min="1286" max="1537" width="9.140625" style="1021"/>
    <col min="1538" max="1538" width="91.85546875" style="1021" customWidth="1"/>
    <col min="1539" max="1540" width="9.140625" style="1021"/>
    <col min="1541" max="1541" width="28" style="1021" customWidth="1"/>
    <col min="1542" max="1793" width="9.140625" style="1021"/>
    <col min="1794" max="1794" width="91.85546875" style="1021" customWidth="1"/>
    <col min="1795" max="1796" width="9.140625" style="1021"/>
    <col min="1797" max="1797" width="28" style="1021" customWidth="1"/>
    <col min="1798" max="2049" width="9.140625" style="1021"/>
    <col min="2050" max="2050" width="91.85546875" style="1021" customWidth="1"/>
    <col min="2051" max="2052" width="9.140625" style="1021"/>
    <col min="2053" max="2053" width="28" style="1021" customWidth="1"/>
    <col min="2054" max="2305" width="9.140625" style="1021"/>
    <col min="2306" max="2306" width="91.85546875" style="1021" customWidth="1"/>
    <col min="2307" max="2308" width="9.140625" style="1021"/>
    <col min="2309" max="2309" width="28" style="1021" customWidth="1"/>
    <col min="2310" max="2561" width="9.140625" style="1021"/>
    <col min="2562" max="2562" width="91.85546875" style="1021" customWidth="1"/>
    <col min="2563" max="2564" width="9.140625" style="1021"/>
    <col min="2565" max="2565" width="28" style="1021" customWidth="1"/>
    <col min="2566" max="2817" width="9.140625" style="1021"/>
    <col min="2818" max="2818" width="91.85546875" style="1021" customWidth="1"/>
    <col min="2819" max="2820" width="9.140625" style="1021"/>
    <col min="2821" max="2821" width="28" style="1021" customWidth="1"/>
    <col min="2822" max="3073" width="9.140625" style="1021"/>
    <col min="3074" max="3074" width="91.85546875" style="1021" customWidth="1"/>
    <col min="3075" max="3076" width="9.140625" style="1021"/>
    <col min="3077" max="3077" width="28" style="1021" customWidth="1"/>
    <col min="3078" max="3329" width="9.140625" style="1021"/>
    <col min="3330" max="3330" width="91.85546875" style="1021" customWidth="1"/>
    <col min="3331" max="3332" width="9.140625" style="1021"/>
    <col min="3333" max="3333" width="28" style="1021" customWidth="1"/>
    <col min="3334" max="3585" width="9.140625" style="1021"/>
    <col min="3586" max="3586" width="91.85546875" style="1021" customWidth="1"/>
    <col min="3587" max="3588" width="9.140625" style="1021"/>
    <col min="3589" max="3589" width="28" style="1021" customWidth="1"/>
    <col min="3590" max="3841" width="9.140625" style="1021"/>
    <col min="3842" max="3842" width="91.85546875" style="1021" customWidth="1"/>
    <col min="3843" max="3844" width="9.140625" style="1021"/>
    <col min="3845" max="3845" width="28" style="1021" customWidth="1"/>
    <col min="3846" max="4097" width="9.140625" style="1021"/>
    <col min="4098" max="4098" width="91.85546875" style="1021" customWidth="1"/>
    <col min="4099" max="4100" width="9.140625" style="1021"/>
    <col min="4101" max="4101" width="28" style="1021" customWidth="1"/>
    <col min="4102" max="4353" width="9.140625" style="1021"/>
    <col min="4354" max="4354" width="91.85546875" style="1021" customWidth="1"/>
    <col min="4355" max="4356" width="9.140625" style="1021"/>
    <col min="4357" max="4357" width="28" style="1021" customWidth="1"/>
    <col min="4358" max="4609" width="9.140625" style="1021"/>
    <col min="4610" max="4610" width="91.85546875" style="1021" customWidth="1"/>
    <col min="4611" max="4612" width="9.140625" style="1021"/>
    <col min="4613" max="4613" width="28" style="1021" customWidth="1"/>
    <col min="4614" max="4865" width="9.140625" style="1021"/>
    <col min="4866" max="4866" width="91.85546875" style="1021" customWidth="1"/>
    <col min="4867" max="4868" width="9.140625" style="1021"/>
    <col min="4869" max="4869" width="28" style="1021" customWidth="1"/>
    <col min="4870" max="5121" width="9.140625" style="1021"/>
    <col min="5122" max="5122" width="91.85546875" style="1021" customWidth="1"/>
    <col min="5123" max="5124" width="9.140625" style="1021"/>
    <col min="5125" max="5125" width="28" style="1021" customWidth="1"/>
    <col min="5126" max="5377" width="9.140625" style="1021"/>
    <col min="5378" max="5378" width="91.85546875" style="1021" customWidth="1"/>
    <col min="5379" max="5380" width="9.140625" style="1021"/>
    <col min="5381" max="5381" width="28" style="1021" customWidth="1"/>
    <col min="5382" max="5633" width="9.140625" style="1021"/>
    <col min="5634" max="5634" width="91.85546875" style="1021" customWidth="1"/>
    <col min="5635" max="5636" width="9.140625" style="1021"/>
    <col min="5637" max="5637" width="28" style="1021" customWidth="1"/>
    <col min="5638" max="5889" width="9.140625" style="1021"/>
    <col min="5890" max="5890" width="91.85546875" style="1021" customWidth="1"/>
    <col min="5891" max="5892" width="9.140625" style="1021"/>
    <col min="5893" max="5893" width="28" style="1021" customWidth="1"/>
    <col min="5894" max="6145" width="9.140625" style="1021"/>
    <col min="6146" max="6146" width="91.85546875" style="1021" customWidth="1"/>
    <col min="6147" max="6148" width="9.140625" style="1021"/>
    <col min="6149" max="6149" width="28" style="1021" customWidth="1"/>
    <col min="6150" max="6401" width="9.140625" style="1021"/>
    <col min="6402" max="6402" width="91.85546875" style="1021" customWidth="1"/>
    <col min="6403" max="6404" width="9.140625" style="1021"/>
    <col min="6405" max="6405" width="28" style="1021" customWidth="1"/>
    <col min="6406" max="6657" width="9.140625" style="1021"/>
    <col min="6658" max="6658" width="91.85546875" style="1021" customWidth="1"/>
    <col min="6659" max="6660" width="9.140625" style="1021"/>
    <col min="6661" max="6661" width="28" style="1021" customWidth="1"/>
    <col min="6662" max="6913" width="9.140625" style="1021"/>
    <col min="6914" max="6914" width="91.85546875" style="1021" customWidth="1"/>
    <col min="6915" max="6916" width="9.140625" style="1021"/>
    <col min="6917" max="6917" width="28" style="1021" customWidth="1"/>
    <col min="6918" max="7169" width="9.140625" style="1021"/>
    <col min="7170" max="7170" width="91.85546875" style="1021" customWidth="1"/>
    <col min="7171" max="7172" width="9.140625" style="1021"/>
    <col min="7173" max="7173" width="28" style="1021" customWidth="1"/>
    <col min="7174" max="7425" width="9.140625" style="1021"/>
    <col min="7426" max="7426" width="91.85546875" style="1021" customWidth="1"/>
    <col min="7427" max="7428" width="9.140625" style="1021"/>
    <col min="7429" max="7429" width="28" style="1021" customWidth="1"/>
    <col min="7430" max="7681" width="9.140625" style="1021"/>
    <col min="7682" max="7682" width="91.85546875" style="1021" customWidth="1"/>
    <col min="7683" max="7684" width="9.140625" style="1021"/>
    <col min="7685" max="7685" width="28" style="1021" customWidth="1"/>
    <col min="7686" max="7937" width="9.140625" style="1021"/>
    <col min="7938" max="7938" width="91.85546875" style="1021" customWidth="1"/>
    <col min="7939" max="7940" width="9.140625" style="1021"/>
    <col min="7941" max="7941" width="28" style="1021" customWidth="1"/>
    <col min="7942" max="8193" width="9.140625" style="1021"/>
    <col min="8194" max="8194" width="91.85546875" style="1021" customWidth="1"/>
    <col min="8195" max="8196" width="9.140625" style="1021"/>
    <col min="8197" max="8197" width="28" style="1021" customWidth="1"/>
    <col min="8198" max="8449" width="9.140625" style="1021"/>
    <col min="8450" max="8450" width="91.85546875" style="1021" customWidth="1"/>
    <col min="8451" max="8452" width="9.140625" style="1021"/>
    <col min="8453" max="8453" width="28" style="1021" customWidth="1"/>
    <col min="8454" max="8705" width="9.140625" style="1021"/>
    <col min="8706" max="8706" width="91.85546875" style="1021" customWidth="1"/>
    <col min="8707" max="8708" width="9.140625" style="1021"/>
    <col min="8709" max="8709" width="28" style="1021" customWidth="1"/>
    <col min="8710" max="8961" width="9.140625" style="1021"/>
    <col min="8962" max="8962" width="91.85546875" style="1021" customWidth="1"/>
    <col min="8963" max="8964" width="9.140625" style="1021"/>
    <col min="8965" max="8965" width="28" style="1021" customWidth="1"/>
    <col min="8966" max="9217" width="9.140625" style="1021"/>
    <col min="9218" max="9218" width="91.85546875" style="1021" customWidth="1"/>
    <col min="9219" max="9220" width="9.140625" style="1021"/>
    <col min="9221" max="9221" width="28" style="1021" customWidth="1"/>
    <col min="9222" max="9473" width="9.140625" style="1021"/>
    <col min="9474" max="9474" width="91.85546875" style="1021" customWidth="1"/>
    <col min="9475" max="9476" width="9.140625" style="1021"/>
    <col min="9477" max="9477" width="28" style="1021" customWidth="1"/>
    <col min="9478" max="9729" width="9.140625" style="1021"/>
    <col min="9730" max="9730" width="91.85546875" style="1021" customWidth="1"/>
    <col min="9731" max="9732" width="9.140625" style="1021"/>
    <col min="9733" max="9733" width="28" style="1021" customWidth="1"/>
    <col min="9734" max="9985" width="9.140625" style="1021"/>
    <col min="9986" max="9986" width="91.85546875" style="1021" customWidth="1"/>
    <col min="9987" max="9988" width="9.140625" style="1021"/>
    <col min="9989" max="9989" width="28" style="1021" customWidth="1"/>
    <col min="9990" max="10241" width="9.140625" style="1021"/>
    <col min="10242" max="10242" width="91.85546875" style="1021" customWidth="1"/>
    <col min="10243" max="10244" width="9.140625" style="1021"/>
    <col min="10245" max="10245" width="28" style="1021" customWidth="1"/>
    <col min="10246" max="10497" width="9.140625" style="1021"/>
    <col min="10498" max="10498" width="91.85546875" style="1021" customWidth="1"/>
    <col min="10499" max="10500" width="9.140625" style="1021"/>
    <col min="10501" max="10501" width="28" style="1021" customWidth="1"/>
    <col min="10502" max="10753" width="9.140625" style="1021"/>
    <col min="10754" max="10754" width="91.85546875" style="1021" customWidth="1"/>
    <col min="10755" max="10756" width="9.140625" style="1021"/>
    <col min="10757" max="10757" width="28" style="1021" customWidth="1"/>
    <col min="10758" max="11009" width="9.140625" style="1021"/>
    <col min="11010" max="11010" width="91.85546875" style="1021" customWidth="1"/>
    <col min="11011" max="11012" width="9.140625" style="1021"/>
    <col min="11013" max="11013" width="28" style="1021" customWidth="1"/>
    <col min="11014" max="11265" width="9.140625" style="1021"/>
    <col min="11266" max="11266" width="91.85546875" style="1021" customWidth="1"/>
    <col min="11267" max="11268" width="9.140625" style="1021"/>
    <col min="11269" max="11269" width="28" style="1021" customWidth="1"/>
    <col min="11270" max="11521" width="9.140625" style="1021"/>
    <col min="11522" max="11522" width="91.85546875" style="1021" customWidth="1"/>
    <col min="11523" max="11524" width="9.140625" style="1021"/>
    <col min="11525" max="11525" width="28" style="1021" customWidth="1"/>
    <col min="11526" max="11777" width="9.140625" style="1021"/>
    <col min="11778" max="11778" width="91.85546875" style="1021" customWidth="1"/>
    <col min="11779" max="11780" width="9.140625" style="1021"/>
    <col min="11781" max="11781" width="28" style="1021" customWidth="1"/>
    <col min="11782" max="12033" width="9.140625" style="1021"/>
    <col min="12034" max="12034" width="91.85546875" style="1021" customWidth="1"/>
    <col min="12035" max="12036" width="9.140625" style="1021"/>
    <col min="12037" max="12037" width="28" style="1021" customWidth="1"/>
    <col min="12038" max="12289" width="9.140625" style="1021"/>
    <col min="12290" max="12290" width="91.85546875" style="1021" customWidth="1"/>
    <col min="12291" max="12292" width="9.140625" style="1021"/>
    <col min="12293" max="12293" width="28" style="1021" customWidth="1"/>
    <col min="12294" max="12545" width="9.140625" style="1021"/>
    <col min="12546" max="12546" width="91.85546875" style="1021" customWidth="1"/>
    <col min="12547" max="12548" width="9.140625" style="1021"/>
    <col min="12549" max="12549" width="28" style="1021" customWidth="1"/>
    <col min="12550" max="12801" width="9.140625" style="1021"/>
    <col min="12802" max="12802" width="91.85546875" style="1021" customWidth="1"/>
    <col min="12803" max="12804" width="9.140625" style="1021"/>
    <col min="12805" max="12805" width="28" style="1021" customWidth="1"/>
    <col min="12806" max="13057" width="9.140625" style="1021"/>
    <col min="13058" max="13058" width="91.85546875" style="1021" customWidth="1"/>
    <col min="13059" max="13060" width="9.140625" style="1021"/>
    <col min="13061" max="13061" width="28" style="1021" customWidth="1"/>
    <col min="13062" max="13313" width="9.140625" style="1021"/>
    <col min="13314" max="13314" width="91.85546875" style="1021" customWidth="1"/>
    <col min="13315" max="13316" width="9.140625" style="1021"/>
    <col min="13317" max="13317" width="28" style="1021" customWidth="1"/>
    <col min="13318" max="13569" width="9.140625" style="1021"/>
    <col min="13570" max="13570" width="91.85546875" style="1021" customWidth="1"/>
    <col min="13571" max="13572" width="9.140625" style="1021"/>
    <col min="13573" max="13573" width="28" style="1021" customWidth="1"/>
    <col min="13574" max="13825" width="9.140625" style="1021"/>
    <col min="13826" max="13826" width="91.85546875" style="1021" customWidth="1"/>
    <col min="13827" max="13828" width="9.140625" style="1021"/>
    <col min="13829" max="13829" width="28" style="1021" customWidth="1"/>
    <col min="13830" max="14081" width="9.140625" style="1021"/>
    <col min="14082" max="14082" width="91.85546875" style="1021" customWidth="1"/>
    <col min="14083" max="14084" width="9.140625" style="1021"/>
    <col min="14085" max="14085" width="28" style="1021" customWidth="1"/>
    <col min="14086" max="14337" width="9.140625" style="1021"/>
    <col min="14338" max="14338" width="91.85546875" style="1021" customWidth="1"/>
    <col min="14339" max="14340" width="9.140625" style="1021"/>
    <col min="14341" max="14341" width="28" style="1021" customWidth="1"/>
    <col min="14342" max="14593" width="9.140625" style="1021"/>
    <col min="14594" max="14594" width="91.85546875" style="1021" customWidth="1"/>
    <col min="14595" max="14596" width="9.140625" style="1021"/>
    <col min="14597" max="14597" width="28" style="1021" customWidth="1"/>
    <col min="14598" max="14849" width="9.140625" style="1021"/>
    <col min="14850" max="14850" width="91.85546875" style="1021" customWidth="1"/>
    <col min="14851" max="14852" width="9.140625" style="1021"/>
    <col min="14853" max="14853" width="28" style="1021" customWidth="1"/>
    <col min="14854" max="15105" width="9.140625" style="1021"/>
    <col min="15106" max="15106" width="91.85546875" style="1021" customWidth="1"/>
    <col min="15107" max="15108" width="9.140625" style="1021"/>
    <col min="15109" max="15109" width="28" style="1021" customWidth="1"/>
    <col min="15110" max="15361" width="9.140625" style="1021"/>
    <col min="15362" max="15362" width="91.85546875" style="1021" customWidth="1"/>
    <col min="15363" max="15364" width="9.140625" style="1021"/>
    <col min="15365" max="15365" width="28" style="1021" customWidth="1"/>
    <col min="15366" max="15617" width="9.140625" style="1021"/>
    <col min="15618" max="15618" width="91.85546875" style="1021" customWidth="1"/>
    <col min="15619" max="15620" width="9.140625" style="1021"/>
    <col min="15621" max="15621" width="28" style="1021" customWidth="1"/>
    <col min="15622" max="15873" width="9.140625" style="1021"/>
    <col min="15874" max="15874" width="91.85546875" style="1021" customWidth="1"/>
    <col min="15875" max="15876" width="9.140625" style="1021"/>
    <col min="15877" max="15877" width="28" style="1021" customWidth="1"/>
    <col min="15878" max="16129" width="9.140625" style="1021"/>
    <col min="16130" max="16130" width="91.85546875" style="1021" customWidth="1"/>
    <col min="16131" max="16132" width="9.140625" style="1021"/>
    <col min="16133" max="16133" width="28" style="1021" customWidth="1"/>
    <col min="16134" max="16384" width="9.140625" style="1021"/>
  </cols>
  <sheetData>
    <row r="1" spans="1:5">
      <c r="B1" s="1019" t="s">
        <v>2552</v>
      </c>
      <c r="C1" s="1020"/>
      <c r="D1" s="1020"/>
      <c r="E1" s="1020"/>
    </row>
    <row r="2" spans="1:5">
      <c r="B2" s="1022" t="str">
        <f>'OBRAS E SERVIÇOS'!A2</f>
        <v>Obra : IMPLANTAÇÃO DA ESTAÇÃO DE TRATAMENTO DE ÁGUA - ETA</v>
      </c>
      <c r="C2" s="1020"/>
      <c r="D2" s="1020"/>
      <c r="E2" s="1020"/>
    </row>
    <row r="3" spans="1:5">
      <c r="B3" s="1022" t="str">
        <f>'OBRAS E SERVIÇOS'!A3</f>
        <v>Local : MUNICÍPIO DE CORDEIRÓPOLIS</v>
      </c>
      <c r="C3" s="1020"/>
      <c r="D3" s="1020"/>
      <c r="E3" s="1020"/>
    </row>
    <row r="4" spans="1:5">
      <c r="B4" s="1022" t="str">
        <f>'OBRAS E SERVIÇOS'!A4</f>
        <v>DATA BASE: MARÇO 2017</v>
      </c>
      <c r="C4" s="1020"/>
      <c r="D4" s="1020"/>
      <c r="E4" s="1020"/>
    </row>
    <row r="5" spans="1:5">
      <c r="B5" s="1019"/>
      <c r="C5" s="1020"/>
      <c r="D5" s="1020"/>
      <c r="E5" s="1020"/>
    </row>
    <row r="6" spans="1:5">
      <c r="B6" s="1023" t="s">
        <v>2553</v>
      </c>
      <c r="C6" s="1023" t="s">
        <v>157</v>
      </c>
      <c r="D6" s="1023" t="s">
        <v>2554</v>
      </c>
      <c r="E6" s="1023" t="s">
        <v>2555</v>
      </c>
    </row>
    <row r="7" spans="1:5" ht="34.5" customHeight="1">
      <c r="A7" s="1020" t="s">
        <v>2022</v>
      </c>
      <c r="B7" s="1026" t="str">
        <f>'OBRAS E SERVIÇOS'!D346</f>
        <v>FORMA DE MADEIRA COMUM PARA FUNDAÇÕES - REAPROVEITAMENTO 5X.</v>
      </c>
      <c r="C7" s="1026" t="str">
        <f>'OBRAS E SERVIÇOS'!E346</f>
        <v>M²</v>
      </c>
      <c r="D7" s="1026">
        <f>'OBRAS E SERVIÇOS'!L346+'OBRAS E SERVIÇOS'!L500+'OBRAS E SERVIÇOS'!L605</f>
        <v>3901.4182999999994</v>
      </c>
      <c r="E7" s="1024">
        <f>D7*0.5</f>
        <v>1950.7091499999997</v>
      </c>
    </row>
    <row r="8" spans="1:5" ht="34.5" customHeight="1">
      <c r="A8" s="1020" t="s">
        <v>2556</v>
      </c>
      <c r="B8" s="1026" t="str">
        <f>'OBRAS E SERVIÇOS'!D357</f>
        <v xml:space="preserve">CONCRETO USINADO, FCK=30MPa - PARA BOMBEAMENTO </v>
      </c>
      <c r="C8" s="1026" t="str">
        <f>'OBRAS E SERVIÇOS'!E357</f>
        <v>M³</v>
      </c>
      <c r="D8" s="1026">
        <f>'OBRAS E SERVIÇOS'!L357</f>
        <v>190.90070200000008</v>
      </c>
      <c r="E8" s="1024">
        <f t="shared" ref="E8:E14" si="0">D8*0.5</f>
        <v>95.45035100000004</v>
      </c>
    </row>
    <row r="9" spans="1:5" ht="34.5" customHeight="1">
      <c r="A9" s="1020" t="s">
        <v>2557</v>
      </c>
      <c r="B9" s="1026" t="str">
        <f>'OBRAS E SERVIÇOS'!D394</f>
        <v>IMPERMEABILIZACAO DE SUPERFICIE COM CIMENTO ESPECIAL CRISTALIZANTE COM ADESIVO LIQUIDO, UMA DEMAO.</v>
      </c>
      <c r="C9" s="1026" t="str">
        <f>'OBRAS E SERVIÇOS'!E394</f>
        <v>M²</v>
      </c>
      <c r="D9" s="1026">
        <f>'OBRAS E SERVIÇOS'!L394+'OBRAS E SERVIÇOS'!L116+'OBRAS E SERVIÇOS'!L1120</f>
        <v>13961.32</v>
      </c>
      <c r="E9" s="1024">
        <f t="shared" si="0"/>
        <v>6980.66</v>
      </c>
    </row>
    <row r="10" spans="1:5" ht="34.5" customHeight="1">
      <c r="A10" s="1020" t="s">
        <v>2558</v>
      </c>
      <c r="B10" s="1026" t="str">
        <f>'OBRAS E SERVIÇOS'!D410</f>
        <v>BLOCOS DRENANTES UNIVERSAIS PARA FUNDO DE FILTRO EM PEAD, FORNECIMENTO E INSTALAÇÃO, CONFORME ESPECIFICAÇÃO TÉCNICA, ÁREA DE COBERTURA EM PLANTA =  73,50M².</v>
      </c>
      <c r="C10" s="1026" t="s">
        <v>92</v>
      </c>
      <c r="D10" s="1026">
        <v>73</v>
      </c>
      <c r="E10" s="1024">
        <f t="shared" si="0"/>
        <v>36.5</v>
      </c>
    </row>
    <row r="11" spans="1:5" ht="34.5" customHeight="1">
      <c r="A11" s="1020" t="s">
        <v>2559</v>
      </c>
      <c r="B11" s="1026" t="str">
        <f>'OBRAS E SERVIÇOS'!D1106</f>
        <v xml:space="preserve">EXECUÇÃO DE CONCRETO PROJETADO - CONSUMO DE CIMENTO 350 KG/M³ </v>
      </c>
      <c r="C11" s="1026" t="str">
        <f>'OBRAS E SERVIÇOS'!E1106</f>
        <v>M³</v>
      </c>
      <c r="D11" s="1026">
        <f>'OBRAS E SERVIÇOS'!L1106</f>
        <v>104.74</v>
      </c>
      <c r="E11" s="1024">
        <f t="shared" si="0"/>
        <v>52.37</v>
      </c>
    </row>
    <row r="12" spans="1:5" ht="34.5" customHeight="1">
      <c r="A12" s="1020" t="s">
        <v>2560</v>
      </c>
      <c r="B12" s="1026" t="str">
        <f>'OBRAS E SERVIÇOS'!D85</f>
        <v>ARMAÇÃO DE PILAR OU VIGA DE UMA ESTRUTURA CONVENCIONAL DE CONCRETO ARMADO EM UM EDIFÍCIO DE MÚLTIPLOS PAVIMENTOS UTILIZANDO AÇO CA-50 DE 8.0MM - MONTAGEM. AF_12/2015</v>
      </c>
      <c r="C12" s="1026" t="str">
        <f>'OBRAS E SERVIÇOS'!E85</f>
        <v>KG</v>
      </c>
      <c r="D12" s="1026">
        <f>'OBRAS E SERVIÇOS'!L85+'OBRAS E SERVIÇOS'!L1098</f>
        <v>11247.2</v>
      </c>
      <c r="E12" s="1024">
        <f t="shared" ref="E12" si="1">D12*0.5</f>
        <v>5623.6</v>
      </c>
    </row>
    <row r="13" spans="1:5" ht="60" customHeight="1">
      <c r="A13" s="1020" t="s">
        <v>117</v>
      </c>
      <c r="B13" s="1026" t="str">
        <f>'MAQUINARIOS E EQUIPAMENTOS'!G26</f>
        <v>Cabo multipolar de cobre, classe 0,6/ 1 kV, isolação em composto termofixo tipo EPR colorido, enchimento em composto termoplástico tipo PVC, cobertura em composto termoplástico tipo PVC preto, veias distintas pela cor. Quatro veias de seção nominal 35 mm².</v>
      </c>
      <c r="C13" s="1026" t="str">
        <f>'MAQUINARIOS E EQUIPAMENTOS'!H26</f>
        <v>m</v>
      </c>
      <c r="D13" s="1026">
        <f>'MAQUINARIOS E EQUIPAMENTOS'!O26</f>
        <v>535</v>
      </c>
      <c r="E13" s="1024">
        <f t="shared" si="0"/>
        <v>267.5</v>
      </c>
    </row>
    <row r="14" spans="1:5" ht="38.25" customHeight="1">
      <c r="A14" s="1020" t="s">
        <v>2561</v>
      </c>
      <c r="B14" s="1026" t="str">
        <f>'MAQUINARIOS E EQUIPAMENTOS'!G1313</f>
        <v>Tubo de Ferro Fundido com ponta e bolsa, Ø700mm,  ISO 2531 PN-10, conforme NBR 7475, l (ajustar em campo) p/ esgoto por gravidade. ( 13pç x L= 7,0 m)</v>
      </c>
      <c r="C14" s="1026" t="str">
        <f>'MAQUINARIOS E EQUIPAMENTOS'!H1313</f>
        <v>m</v>
      </c>
      <c r="D14" s="1026">
        <f>'MAQUINARIOS E EQUIPAMENTOS'!O1313</f>
        <v>91.76</v>
      </c>
      <c r="E14" s="1024">
        <f t="shared" si="0"/>
        <v>45.88</v>
      </c>
    </row>
    <row r="15" spans="1:5">
      <c r="A15" s="1020"/>
      <c r="B15" s="1026"/>
      <c r="C15" s="1020"/>
      <c r="D15" s="1020"/>
      <c r="E15" s="1024"/>
    </row>
    <row r="16" spans="1:5">
      <c r="A16" s="1020"/>
      <c r="B16" s="1026"/>
      <c r="C16" s="1020"/>
      <c r="D16" s="1020"/>
      <c r="E16" s="1024"/>
    </row>
    <row r="17" spans="1:5">
      <c r="A17" s="1020"/>
      <c r="B17" s="1026"/>
      <c r="C17" s="1020"/>
      <c r="D17" s="1020"/>
      <c r="E17" s="1024"/>
    </row>
    <row r="18" spans="1:5" ht="15">
      <c r="A18" s="1020"/>
      <c r="B18" s="1025"/>
      <c r="C18" s="1020"/>
      <c r="D18" s="1020"/>
      <c r="E18" s="1024"/>
    </row>
  </sheetData>
  <pageMargins left="0.511811024" right="0.511811024" top="0.78740157499999996" bottom="0.78740157499999996" header="0.31496062000000002" footer="0.31496062000000002"/>
  <pageSetup paperSize="9" scale="60" orientation="portrait" r:id="rId1"/>
</worksheet>
</file>

<file path=xl/worksheets/sheet4.xml><?xml version="1.0" encoding="utf-8"?>
<worksheet xmlns="http://schemas.openxmlformats.org/spreadsheetml/2006/main" xmlns:r="http://schemas.openxmlformats.org/officeDocument/2006/relationships">
  <dimension ref="A1:AP170"/>
  <sheetViews>
    <sheetView view="pageBreakPreview" topLeftCell="A68" zoomScale="90" zoomScaleSheetLayoutView="90" workbookViewId="0">
      <selection activeCell="A84" sqref="A84"/>
    </sheetView>
  </sheetViews>
  <sheetFormatPr defaultRowHeight="15"/>
  <cols>
    <col min="1" max="1" width="6.28515625" style="1010" customWidth="1"/>
    <col min="2" max="2" width="39.140625" style="981" customWidth="1"/>
    <col min="3" max="3" width="19.140625" style="1011" bestFit="1" customWidth="1"/>
    <col min="4" max="4" width="14.85546875" style="1012" customWidth="1"/>
    <col min="5" max="5" width="9.28515625" style="1012" customWidth="1"/>
    <col min="6" max="6" width="9" style="1013" customWidth="1"/>
    <col min="7" max="7" width="10.140625" style="981" customWidth="1"/>
    <col min="8" max="8" width="9.140625" style="998"/>
    <col min="9" max="9" width="9.28515625" style="1012" customWidth="1"/>
    <col min="10" max="10" width="9" style="1013" customWidth="1"/>
    <col min="11" max="256" width="9.140625" style="998"/>
    <col min="257" max="257" width="6.28515625" style="998" customWidth="1"/>
    <col min="258" max="258" width="39.140625" style="998" customWidth="1"/>
    <col min="259" max="259" width="19.140625" style="998" bestFit="1" customWidth="1"/>
    <col min="260" max="260" width="10.7109375" style="998" customWidth="1"/>
    <col min="261" max="261" width="9.28515625" style="998" customWidth="1"/>
    <col min="262" max="262" width="9" style="998" customWidth="1"/>
    <col min="263" max="263" width="10.140625" style="998" customWidth="1"/>
    <col min="264" max="264" width="9.140625" style="998"/>
    <col min="265" max="265" width="9.28515625" style="998" customWidth="1"/>
    <col min="266" max="266" width="9" style="998" customWidth="1"/>
    <col min="267" max="512" width="9.140625" style="998"/>
    <col min="513" max="513" width="6.28515625" style="998" customWidth="1"/>
    <col min="514" max="514" width="39.140625" style="998" customWidth="1"/>
    <col min="515" max="515" width="19.140625" style="998" bestFit="1" customWidth="1"/>
    <col min="516" max="516" width="10.7109375" style="998" customWidth="1"/>
    <col min="517" max="517" width="9.28515625" style="998" customWidth="1"/>
    <col min="518" max="518" width="9" style="998" customWidth="1"/>
    <col min="519" max="519" width="10.140625" style="998" customWidth="1"/>
    <col min="520" max="520" width="9.140625" style="998"/>
    <col min="521" max="521" width="9.28515625" style="998" customWidth="1"/>
    <col min="522" max="522" width="9" style="998" customWidth="1"/>
    <col min="523" max="768" width="9.140625" style="998"/>
    <col min="769" max="769" width="6.28515625" style="998" customWidth="1"/>
    <col min="770" max="770" width="39.140625" style="998" customWidth="1"/>
    <col min="771" max="771" width="19.140625" style="998" bestFit="1" customWidth="1"/>
    <col min="772" max="772" width="10.7109375" style="998" customWidth="1"/>
    <col min="773" max="773" width="9.28515625" style="998" customWidth="1"/>
    <col min="774" max="774" width="9" style="998" customWidth="1"/>
    <col min="775" max="775" width="10.140625" style="998" customWidth="1"/>
    <col min="776" max="776" width="9.140625" style="998"/>
    <col min="777" max="777" width="9.28515625" style="998" customWidth="1"/>
    <col min="778" max="778" width="9" style="998" customWidth="1"/>
    <col min="779" max="1024" width="9.140625" style="998"/>
    <col min="1025" max="1025" width="6.28515625" style="998" customWidth="1"/>
    <col min="1026" max="1026" width="39.140625" style="998" customWidth="1"/>
    <col min="1027" max="1027" width="19.140625" style="998" bestFit="1" customWidth="1"/>
    <col min="1028" max="1028" width="10.7109375" style="998" customWidth="1"/>
    <col min="1029" max="1029" width="9.28515625" style="998" customWidth="1"/>
    <col min="1030" max="1030" width="9" style="998" customWidth="1"/>
    <col min="1031" max="1031" width="10.140625" style="998" customWidth="1"/>
    <col min="1032" max="1032" width="9.140625" style="998"/>
    <col min="1033" max="1033" width="9.28515625" style="998" customWidth="1"/>
    <col min="1034" max="1034" width="9" style="998" customWidth="1"/>
    <col min="1035" max="1280" width="9.140625" style="998"/>
    <col min="1281" max="1281" width="6.28515625" style="998" customWidth="1"/>
    <col min="1282" max="1282" width="39.140625" style="998" customWidth="1"/>
    <col min="1283" max="1283" width="19.140625" style="998" bestFit="1" customWidth="1"/>
    <col min="1284" max="1284" width="10.7109375" style="998" customWidth="1"/>
    <col min="1285" max="1285" width="9.28515625" style="998" customWidth="1"/>
    <col min="1286" max="1286" width="9" style="998" customWidth="1"/>
    <col min="1287" max="1287" width="10.140625" style="998" customWidth="1"/>
    <col min="1288" max="1288" width="9.140625" style="998"/>
    <col min="1289" max="1289" width="9.28515625" style="998" customWidth="1"/>
    <col min="1290" max="1290" width="9" style="998" customWidth="1"/>
    <col min="1291" max="1536" width="9.140625" style="998"/>
    <col min="1537" max="1537" width="6.28515625" style="998" customWidth="1"/>
    <col min="1538" max="1538" width="39.140625" style="998" customWidth="1"/>
    <col min="1539" max="1539" width="19.140625" style="998" bestFit="1" customWidth="1"/>
    <col min="1540" max="1540" width="10.7109375" style="998" customWidth="1"/>
    <col min="1541" max="1541" width="9.28515625" style="998" customWidth="1"/>
    <col min="1542" max="1542" width="9" style="998" customWidth="1"/>
    <col min="1543" max="1543" width="10.140625" style="998" customWidth="1"/>
    <col min="1544" max="1544" width="9.140625" style="998"/>
    <col min="1545" max="1545" width="9.28515625" style="998" customWidth="1"/>
    <col min="1546" max="1546" width="9" style="998" customWidth="1"/>
    <col min="1547" max="1792" width="9.140625" style="998"/>
    <col min="1793" max="1793" width="6.28515625" style="998" customWidth="1"/>
    <col min="1794" max="1794" width="39.140625" style="998" customWidth="1"/>
    <col min="1795" max="1795" width="19.140625" style="998" bestFit="1" customWidth="1"/>
    <col min="1796" max="1796" width="10.7109375" style="998" customWidth="1"/>
    <col min="1797" max="1797" width="9.28515625" style="998" customWidth="1"/>
    <col min="1798" max="1798" width="9" style="998" customWidth="1"/>
    <col min="1799" max="1799" width="10.140625" style="998" customWidth="1"/>
    <col min="1800" max="1800" width="9.140625" style="998"/>
    <col min="1801" max="1801" width="9.28515625" style="998" customWidth="1"/>
    <col min="1802" max="1802" width="9" style="998" customWidth="1"/>
    <col min="1803" max="2048" width="9.140625" style="998"/>
    <col min="2049" max="2049" width="6.28515625" style="998" customWidth="1"/>
    <col min="2050" max="2050" width="39.140625" style="998" customWidth="1"/>
    <col min="2051" max="2051" width="19.140625" style="998" bestFit="1" customWidth="1"/>
    <col min="2052" max="2052" width="10.7109375" style="998" customWidth="1"/>
    <col min="2053" max="2053" width="9.28515625" style="998" customWidth="1"/>
    <col min="2054" max="2054" width="9" style="998" customWidth="1"/>
    <col min="2055" max="2055" width="10.140625" style="998" customWidth="1"/>
    <col min="2056" max="2056" width="9.140625" style="998"/>
    <col min="2057" max="2057" width="9.28515625" style="998" customWidth="1"/>
    <col min="2058" max="2058" width="9" style="998" customWidth="1"/>
    <col min="2059" max="2304" width="9.140625" style="998"/>
    <col min="2305" max="2305" width="6.28515625" style="998" customWidth="1"/>
    <col min="2306" max="2306" width="39.140625" style="998" customWidth="1"/>
    <col min="2307" max="2307" width="19.140625" style="998" bestFit="1" customWidth="1"/>
    <col min="2308" max="2308" width="10.7109375" style="998" customWidth="1"/>
    <col min="2309" max="2309" width="9.28515625" style="998" customWidth="1"/>
    <col min="2310" max="2310" width="9" style="998" customWidth="1"/>
    <col min="2311" max="2311" width="10.140625" style="998" customWidth="1"/>
    <col min="2312" max="2312" width="9.140625" style="998"/>
    <col min="2313" max="2313" width="9.28515625" style="998" customWidth="1"/>
    <col min="2314" max="2314" width="9" style="998" customWidth="1"/>
    <col min="2315" max="2560" width="9.140625" style="998"/>
    <col min="2561" max="2561" width="6.28515625" style="998" customWidth="1"/>
    <col min="2562" max="2562" width="39.140625" style="998" customWidth="1"/>
    <col min="2563" max="2563" width="19.140625" style="998" bestFit="1" customWidth="1"/>
    <col min="2564" max="2564" width="10.7109375" style="998" customWidth="1"/>
    <col min="2565" max="2565" width="9.28515625" style="998" customWidth="1"/>
    <col min="2566" max="2566" width="9" style="998" customWidth="1"/>
    <col min="2567" max="2567" width="10.140625" style="998" customWidth="1"/>
    <col min="2568" max="2568" width="9.140625" style="998"/>
    <col min="2569" max="2569" width="9.28515625" style="998" customWidth="1"/>
    <col min="2570" max="2570" width="9" style="998" customWidth="1"/>
    <col min="2571" max="2816" width="9.140625" style="998"/>
    <col min="2817" max="2817" width="6.28515625" style="998" customWidth="1"/>
    <col min="2818" max="2818" width="39.140625" style="998" customWidth="1"/>
    <col min="2819" max="2819" width="19.140625" style="998" bestFit="1" customWidth="1"/>
    <col min="2820" max="2820" width="10.7109375" style="998" customWidth="1"/>
    <col min="2821" max="2821" width="9.28515625" style="998" customWidth="1"/>
    <col min="2822" max="2822" width="9" style="998" customWidth="1"/>
    <col min="2823" max="2823" width="10.140625" style="998" customWidth="1"/>
    <col min="2824" max="2824" width="9.140625" style="998"/>
    <col min="2825" max="2825" width="9.28515625" style="998" customWidth="1"/>
    <col min="2826" max="2826" width="9" style="998" customWidth="1"/>
    <col min="2827" max="3072" width="9.140625" style="998"/>
    <col min="3073" max="3073" width="6.28515625" style="998" customWidth="1"/>
    <col min="3074" max="3074" width="39.140625" style="998" customWidth="1"/>
    <col min="3075" max="3075" width="19.140625" style="998" bestFit="1" customWidth="1"/>
    <col min="3076" max="3076" width="10.7109375" style="998" customWidth="1"/>
    <col min="3077" max="3077" width="9.28515625" style="998" customWidth="1"/>
    <col min="3078" max="3078" width="9" style="998" customWidth="1"/>
    <col min="3079" max="3079" width="10.140625" style="998" customWidth="1"/>
    <col min="3080" max="3080" width="9.140625" style="998"/>
    <col min="3081" max="3081" width="9.28515625" style="998" customWidth="1"/>
    <col min="3082" max="3082" width="9" style="998" customWidth="1"/>
    <col min="3083" max="3328" width="9.140625" style="998"/>
    <col min="3329" max="3329" width="6.28515625" style="998" customWidth="1"/>
    <col min="3330" max="3330" width="39.140625" style="998" customWidth="1"/>
    <col min="3331" max="3331" width="19.140625" style="998" bestFit="1" customWidth="1"/>
    <col min="3332" max="3332" width="10.7109375" style="998" customWidth="1"/>
    <col min="3333" max="3333" width="9.28515625" style="998" customWidth="1"/>
    <col min="3334" max="3334" width="9" style="998" customWidth="1"/>
    <col min="3335" max="3335" width="10.140625" style="998" customWidth="1"/>
    <col min="3336" max="3336" width="9.140625" style="998"/>
    <col min="3337" max="3337" width="9.28515625" style="998" customWidth="1"/>
    <col min="3338" max="3338" width="9" style="998" customWidth="1"/>
    <col min="3339" max="3584" width="9.140625" style="998"/>
    <col min="3585" max="3585" width="6.28515625" style="998" customWidth="1"/>
    <col min="3586" max="3586" width="39.140625" style="998" customWidth="1"/>
    <col min="3587" max="3587" width="19.140625" style="998" bestFit="1" customWidth="1"/>
    <col min="3588" max="3588" width="10.7109375" style="998" customWidth="1"/>
    <col min="3589" max="3589" width="9.28515625" style="998" customWidth="1"/>
    <col min="3590" max="3590" width="9" style="998" customWidth="1"/>
    <col min="3591" max="3591" width="10.140625" style="998" customWidth="1"/>
    <col min="3592" max="3592" width="9.140625" style="998"/>
    <col min="3593" max="3593" width="9.28515625" style="998" customWidth="1"/>
    <col min="3594" max="3594" width="9" style="998" customWidth="1"/>
    <col min="3595" max="3840" width="9.140625" style="998"/>
    <col min="3841" max="3841" width="6.28515625" style="998" customWidth="1"/>
    <col min="3842" max="3842" width="39.140625" style="998" customWidth="1"/>
    <col min="3843" max="3843" width="19.140625" style="998" bestFit="1" customWidth="1"/>
    <col min="3844" max="3844" width="10.7109375" style="998" customWidth="1"/>
    <col min="3845" max="3845" width="9.28515625" style="998" customWidth="1"/>
    <col min="3846" max="3846" width="9" style="998" customWidth="1"/>
    <col min="3847" max="3847" width="10.140625" style="998" customWidth="1"/>
    <col min="3848" max="3848" width="9.140625" style="998"/>
    <col min="3849" max="3849" width="9.28515625" style="998" customWidth="1"/>
    <col min="3850" max="3850" width="9" style="998" customWidth="1"/>
    <col min="3851" max="4096" width="9.140625" style="998"/>
    <col min="4097" max="4097" width="6.28515625" style="998" customWidth="1"/>
    <col min="4098" max="4098" width="39.140625" style="998" customWidth="1"/>
    <col min="4099" max="4099" width="19.140625" style="998" bestFit="1" customWidth="1"/>
    <col min="4100" max="4100" width="10.7109375" style="998" customWidth="1"/>
    <col min="4101" max="4101" width="9.28515625" style="998" customWidth="1"/>
    <col min="4102" max="4102" width="9" style="998" customWidth="1"/>
    <col min="4103" max="4103" width="10.140625" style="998" customWidth="1"/>
    <col min="4104" max="4104" width="9.140625" style="998"/>
    <col min="4105" max="4105" width="9.28515625" style="998" customWidth="1"/>
    <col min="4106" max="4106" width="9" style="998" customWidth="1"/>
    <col min="4107" max="4352" width="9.140625" style="998"/>
    <col min="4353" max="4353" width="6.28515625" style="998" customWidth="1"/>
    <col min="4354" max="4354" width="39.140625" style="998" customWidth="1"/>
    <col min="4355" max="4355" width="19.140625" style="998" bestFit="1" customWidth="1"/>
    <col min="4356" max="4356" width="10.7109375" style="998" customWidth="1"/>
    <col min="4357" max="4357" width="9.28515625" style="998" customWidth="1"/>
    <col min="4358" max="4358" width="9" style="998" customWidth="1"/>
    <col min="4359" max="4359" width="10.140625" style="998" customWidth="1"/>
    <col min="4360" max="4360" width="9.140625" style="998"/>
    <col min="4361" max="4361" width="9.28515625" style="998" customWidth="1"/>
    <col min="4362" max="4362" width="9" style="998" customWidth="1"/>
    <col min="4363" max="4608" width="9.140625" style="998"/>
    <col min="4609" max="4609" width="6.28515625" style="998" customWidth="1"/>
    <col min="4610" max="4610" width="39.140625" style="998" customWidth="1"/>
    <col min="4611" max="4611" width="19.140625" style="998" bestFit="1" customWidth="1"/>
    <col min="4612" max="4612" width="10.7109375" style="998" customWidth="1"/>
    <col min="4613" max="4613" width="9.28515625" style="998" customWidth="1"/>
    <col min="4614" max="4614" width="9" style="998" customWidth="1"/>
    <col min="4615" max="4615" width="10.140625" style="998" customWidth="1"/>
    <col min="4616" max="4616" width="9.140625" style="998"/>
    <col min="4617" max="4617" width="9.28515625" style="998" customWidth="1"/>
    <col min="4618" max="4618" width="9" style="998" customWidth="1"/>
    <col min="4619" max="4864" width="9.140625" style="998"/>
    <col min="4865" max="4865" width="6.28515625" style="998" customWidth="1"/>
    <col min="4866" max="4866" width="39.140625" style="998" customWidth="1"/>
    <col min="4867" max="4867" width="19.140625" style="998" bestFit="1" customWidth="1"/>
    <col min="4868" max="4868" width="10.7109375" style="998" customWidth="1"/>
    <col min="4869" max="4869" width="9.28515625" style="998" customWidth="1"/>
    <col min="4870" max="4870" width="9" style="998" customWidth="1"/>
    <col min="4871" max="4871" width="10.140625" style="998" customWidth="1"/>
    <col min="4872" max="4872" width="9.140625" style="998"/>
    <col min="4873" max="4873" width="9.28515625" style="998" customWidth="1"/>
    <col min="4874" max="4874" width="9" style="998" customWidth="1"/>
    <col min="4875" max="5120" width="9.140625" style="998"/>
    <col min="5121" max="5121" width="6.28515625" style="998" customWidth="1"/>
    <col min="5122" max="5122" width="39.140625" style="998" customWidth="1"/>
    <col min="5123" max="5123" width="19.140625" style="998" bestFit="1" customWidth="1"/>
    <col min="5124" max="5124" width="10.7109375" style="998" customWidth="1"/>
    <col min="5125" max="5125" width="9.28515625" style="998" customWidth="1"/>
    <col min="5126" max="5126" width="9" style="998" customWidth="1"/>
    <col min="5127" max="5127" width="10.140625" style="998" customWidth="1"/>
    <col min="5128" max="5128" width="9.140625" style="998"/>
    <col min="5129" max="5129" width="9.28515625" style="998" customWidth="1"/>
    <col min="5130" max="5130" width="9" style="998" customWidth="1"/>
    <col min="5131" max="5376" width="9.140625" style="998"/>
    <col min="5377" max="5377" width="6.28515625" style="998" customWidth="1"/>
    <col min="5378" max="5378" width="39.140625" style="998" customWidth="1"/>
    <col min="5379" max="5379" width="19.140625" style="998" bestFit="1" customWidth="1"/>
    <col min="5380" max="5380" width="10.7109375" style="998" customWidth="1"/>
    <col min="5381" max="5381" width="9.28515625" style="998" customWidth="1"/>
    <col min="5382" max="5382" width="9" style="998" customWidth="1"/>
    <col min="5383" max="5383" width="10.140625" style="998" customWidth="1"/>
    <col min="5384" max="5384" width="9.140625" style="998"/>
    <col min="5385" max="5385" width="9.28515625" style="998" customWidth="1"/>
    <col min="5386" max="5386" width="9" style="998" customWidth="1"/>
    <col min="5387" max="5632" width="9.140625" style="998"/>
    <col min="5633" max="5633" width="6.28515625" style="998" customWidth="1"/>
    <col min="5634" max="5634" width="39.140625" style="998" customWidth="1"/>
    <col min="5635" max="5635" width="19.140625" style="998" bestFit="1" customWidth="1"/>
    <col min="5636" max="5636" width="10.7109375" style="998" customWidth="1"/>
    <col min="5637" max="5637" width="9.28515625" style="998" customWidth="1"/>
    <col min="5638" max="5638" width="9" style="998" customWidth="1"/>
    <col min="5639" max="5639" width="10.140625" style="998" customWidth="1"/>
    <col min="5640" max="5640" width="9.140625" style="998"/>
    <col min="5641" max="5641" width="9.28515625" style="998" customWidth="1"/>
    <col min="5642" max="5642" width="9" style="998" customWidth="1"/>
    <col min="5643" max="5888" width="9.140625" style="998"/>
    <col min="5889" max="5889" width="6.28515625" style="998" customWidth="1"/>
    <col min="5890" max="5890" width="39.140625" style="998" customWidth="1"/>
    <col min="5891" max="5891" width="19.140625" style="998" bestFit="1" customWidth="1"/>
    <col min="5892" max="5892" width="10.7109375" style="998" customWidth="1"/>
    <col min="5893" max="5893" width="9.28515625" style="998" customWidth="1"/>
    <col min="5894" max="5894" width="9" style="998" customWidth="1"/>
    <col min="5895" max="5895" width="10.140625" style="998" customWidth="1"/>
    <col min="5896" max="5896" width="9.140625" style="998"/>
    <col min="5897" max="5897" width="9.28515625" style="998" customWidth="1"/>
    <col min="5898" max="5898" width="9" style="998" customWidth="1"/>
    <col min="5899" max="6144" width="9.140625" style="998"/>
    <col min="6145" max="6145" width="6.28515625" style="998" customWidth="1"/>
    <col min="6146" max="6146" width="39.140625" style="998" customWidth="1"/>
    <col min="6147" max="6147" width="19.140625" style="998" bestFit="1" customWidth="1"/>
    <col min="6148" max="6148" width="10.7109375" style="998" customWidth="1"/>
    <col min="6149" max="6149" width="9.28515625" style="998" customWidth="1"/>
    <col min="6150" max="6150" width="9" style="998" customWidth="1"/>
    <col min="6151" max="6151" width="10.140625" style="998" customWidth="1"/>
    <col min="6152" max="6152" width="9.140625" style="998"/>
    <col min="6153" max="6153" width="9.28515625" style="998" customWidth="1"/>
    <col min="6154" max="6154" width="9" style="998" customWidth="1"/>
    <col min="6155" max="6400" width="9.140625" style="998"/>
    <col min="6401" max="6401" width="6.28515625" style="998" customWidth="1"/>
    <col min="6402" max="6402" width="39.140625" style="998" customWidth="1"/>
    <col min="6403" max="6403" width="19.140625" style="998" bestFit="1" customWidth="1"/>
    <col min="6404" max="6404" width="10.7109375" style="998" customWidth="1"/>
    <col min="6405" max="6405" width="9.28515625" style="998" customWidth="1"/>
    <col min="6406" max="6406" width="9" style="998" customWidth="1"/>
    <col min="6407" max="6407" width="10.140625" style="998" customWidth="1"/>
    <col min="6408" max="6408" width="9.140625" style="998"/>
    <col min="6409" max="6409" width="9.28515625" style="998" customWidth="1"/>
    <col min="6410" max="6410" width="9" style="998" customWidth="1"/>
    <col min="6411" max="6656" width="9.140625" style="998"/>
    <col min="6657" max="6657" width="6.28515625" style="998" customWidth="1"/>
    <col min="6658" max="6658" width="39.140625" style="998" customWidth="1"/>
    <col min="6659" max="6659" width="19.140625" style="998" bestFit="1" customWidth="1"/>
    <col min="6660" max="6660" width="10.7109375" style="998" customWidth="1"/>
    <col min="6661" max="6661" width="9.28515625" style="998" customWidth="1"/>
    <col min="6662" max="6662" width="9" style="998" customWidth="1"/>
    <col min="6663" max="6663" width="10.140625" style="998" customWidth="1"/>
    <col min="6664" max="6664" width="9.140625" style="998"/>
    <col min="6665" max="6665" width="9.28515625" style="998" customWidth="1"/>
    <col min="6666" max="6666" width="9" style="998" customWidth="1"/>
    <col min="6667" max="6912" width="9.140625" style="998"/>
    <col min="6913" max="6913" width="6.28515625" style="998" customWidth="1"/>
    <col min="6914" max="6914" width="39.140625" style="998" customWidth="1"/>
    <col min="6915" max="6915" width="19.140625" style="998" bestFit="1" customWidth="1"/>
    <col min="6916" max="6916" width="10.7109375" style="998" customWidth="1"/>
    <col min="6917" max="6917" width="9.28515625" style="998" customWidth="1"/>
    <col min="6918" max="6918" width="9" style="998" customWidth="1"/>
    <col min="6919" max="6919" width="10.140625" style="998" customWidth="1"/>
    <col min="6920" max="6920" width="9.140625" style="998"/>
    <col min="6921" max="6921" width="9.28515625" style="998" customWidth="1"/>
    <col min="6922" max="6922" width="9" style="998" customWidth="1"/>
    <col min="6923" max="7168" width="9.140625" style="998"/>
    <col min="7169" max="7169" width="6.28515625" style="998" customWidth="1"/>
    <col min="7170" max="7170" width="39.140625" style="998" customWidth="1"/>
    <col min="7171" max="7171" width="19.140625" style="998" bestFit="1" customWidth="1"/>
    <col min="7172" max="7172" width="10.7109375" style="998" customWidth="1"/>
    <col min="7173" max="7173" width="9.28515625" style="998" customWidth="1"/>
    <col min="7174" max="7174" width="9" style="998" customWidth="1"/>
    <col min="7175" max="7175" width="10.140625" style="998" customWidth="1"/>
    <col min="7176" max="7176" width="9.140625" style="998"/>
    <col min="7177" max="7177" width="9.28515625" style="998" customWidth="1"/>
    <col min="7178" max="7178" width="9" style="998" customWidth="1"/>
    <col min="7179" max="7424" width="9.140625" style="998"/>
    <col min="7425" max="7425" width="6.28515625" style="998" customWidth="1"/>
    <col min="7426" max="7426" width="39.140625" style="998" customWidth="1"/>
    <col min="7427" max="7427" width="19.140625" style="998" bestFit="1" customWidth="1"/>
    <col min="7428" max="7428" width="10.7109375" style="998" customWidth="1"/>
    <col min="7429" max="7429" width="9.28515625" style="998" customWidth="1"/>
    <col min="7430" max="7430" width="9" style="998" customWidth="1"/>
    <col min="7431" max="7431" width="10.140625" style="998" customWidth="1"/>
    <col min="7432" max="7432" width="9.140625" style="998"/>
    <col min="7433" max="7433" width="9.28515625" style="998" customWidth="1"/>
    <col min="7434" max="7434" width="9" style="998" customWidth="1"/>
    <col min="7435" max="7680" width="9.140625" style="998"/>
    <col min="7681" max="7681" width="6.28515625" style="998" customWidth="1"/>
    <col min="7682" max="7682" width="39.140625" style="998" customWidth="1"/>
    <col min="7683" max="7683" width="19.140625" style="998" bestFit="1" customWidth="1"/>
    <col min="7684" max="7684" width="10.7109375" style="998" customWidth="1"/>
    <col min="7685" max="7685" width="9.28515625" style="998" customWidth="1"/>
    <col min="7686" max="7686" width="9" style="998" customWidth="1"/>
    <col min="7687" max="7687" width="10.140625" style="998" customWidth="1"/>
    <col min="7688" max="7688" width="9.140625" style="998"/>
    <col min="7689" max="7689" width="9.28515625" style="998" customWidth="1"/>
    <col min="7690" max="7690" width="9" style="998" customWidth="1"/>
    <col min="7691" max="7936" width="9.140625" style="998"/>
    <col min="7937" max="7937" width="6.28515625" style="998" customWidth="1"/>
    <col min="7938" max="7938" width="39.140625" style="998" customWidth="1"/>
    <col min="7939" max="7939" width="19.140625" style="998" bestFit="1" customWidth="1"/>
    <col min="7940" max="7940" width="10.7109375" style="998" customWidth="1"/>
    <col min="7941" max="7941" width="9.28515625" style="998" customWidth="1"/>
    <col min="7942" max="7942" width="9" style="998" customWidth="1"/>
    <col min="7943" max="7943" width="10.140625" style="998" customWidth="1"/>
    <col min="7944" max="7944" width="9.140625" style="998"/>
    <col min="7945" max="7945" width="9.28515625" style="998" customWidth="1"/>
    <col min="7946" max="7946" width="9" style="998" customWidth="1"/>
    <col min="7947" max="8192" width="9.140625" style="998"/>
    <col min="8193" max="8193" width="6.28515625" style="998" customWidth="1"/>
    <col min="8194" max="8194" width="39.140625" style="998" customWidth="1"/>
    <col min="8195" max="8195" width="19.140625" style="998" bestFit="1" customWidth="1"/>
    <col min="8196" max="8196" width="10.7109375" style="998" customWidth="1"/>
    <col min="8197" max="8197" width="9.28515625" style="998" customWidth="1"/>
    <col min="8198" max="8198" width="9" style="998" customWidth="1"/>
    <col min="8199" max="8199" width="10.140625" style="998" customWidth="1"/>
    <col min="8200" max="8200" width="9.140625" style="998"/>
    <col min="8201" max="8201" width="9.28515625" style="998" customWidth="1"/>
    <col min="8202" max="8202" width="9" style="998" customWidth="1"/>
    <col min="8203" max="8448" width="9.140625" style="998"/>
    <col min="8449" max="8449" width="6.28515625" style="998" customWidth="1"/>
    <col min="8450" max="8450" width="39.140625" style="998" customWidth="1"/>
    <col min="8451" max="8451" width="19.140625" style="998" bestFit="1" customWidth="1"/>
    <col min="8452" max="8452" width="10.7109375" style="998" customWidth="1"/>
    <col min="8453" max="8453" width="9.28515625" style="998" customWidth="1"/>
    <col min="8454" max="8454" width="9" style="998" customWidth="1"/>
    <col min="8455" max="8455" width="10.140625" style="998" customWidth="1"/>
    <col min="8456" max="8456" width="9.140625" style="998"/>
    <col min="8457" max="8457" width="9.28515625" style="998" customWidth="1"/>
    <col min="8458" max="8458" width="9" style="998" customWidth="1"/>
    <col min="8459" max="8704" width="9.140625" style="998"/>
    <col min="8705" max="8705" width="6.28515625" style="998" customWidth="1"/>
    <col min="8706" max="8706" width="39.140625" style="998" customWidth="1"/>
    <col min="8707" max="8707" width="19.140625" style="998" bestFit="1" customWidth="1"/>
    <col min="8708" max="8708" width="10.7109375" style="998" customWidth="1"/>
    <col min="8709" max="8709" width="9.28515625" style="998" customWidth="1"/>
    <col min="8710" max="8710" width="9" style="998" customWidth="1"/>
    <col min="8711" max="8711" width="10.140625" style="998" customWidth="1"/>
    <col min="8712" max="8712" width="9.140625" style="998"/>
    <col min="8713" max="8713" width="9.28515625" style="998" customWidth="1"/>
    <col min="8714" max="8714" width="9" style="998" customWidth="1"/>
    <col min="8715" max="8960" width="9.140625" style="998"/>
    <col min="8961" max="8961" width="6.28515625" style="998" customWidth="1"/>
    <col min="8962" max="8962" width="39.140625" style="998" customWidth="1"/>
    <col min="8963" max="8963" width="19.140625" style="998" bestFit="1" customWidth="1"/>
    <col min="8964" max="8964" width="10.7109375" style="998" customWidth="1"/>
    <col min="8965" max="8965" width="9.28515625" style="998" customWidth="1"/>
    <col min="8966" max="8966" width="9" style="998" customWidth="1"/>
    <col min="8967" max="8967" width="10.140625" style="998" customWidth="1"/>
    <col min="8968" max="8968" width="9.140625" style="998"/>
    <col min="8969" max="8969" width="9.28515625" style="998" customWidth="1"/>
    <col min="8970" max="8970" width="9" style="998" customWidth="1"/>
    <col min="8971" max="9216" width="9.140625" style="998"/>
    <col min="9217" max="9217" width="6.28515625" style="998" customWidth="1"/>
    <col min="9218" max="9218" width="39.140625" style="998" customWidth="1"/>
    <col min="9219" max="9219" width="19.140625" style="998" bestFit="1" customWidth="1"/>
    <col min="9220" max="9220" width="10.7109375" style="998" customWidth="1"/>
    <col min="9221" max="9221" width="9.28515625" style="998" customWidth="1"/>
    <col min="9222" max="9222" width="9" style="998" customWidth="1"/>
    <col min="9223" max="9223" width="10.140625" style="998" customWidth="1"/>
    <col min="9224" max="9224" width="9.140625" style="998"/>
    <col min="9225" max="9225" width="9.28515625" style="998" customWidth="1"/>
    <col min="9226" max="9226" width="9" style="998" customWidth="1"/>
    <col min="9227" max="9472" width="9.140625" style="998"/>
    <col min="9473" max="9473" width="6.28515625" style="998" customWidth="1"/>
    <col min="9474" max="9474" width="39.140625" style="998" customWidth="1"/>
    <col min="9475" max="9475" width="19.140625" style="998" bestFit="1" customWidth="1"/>
    <col min="9476" max="9476" width="10.7109375" style="998" customWidth="1"/>
    <col min="9477" max="9477" width="9.28515625" style="998" customWidth="1"/>
    <col min="9478" max="9478" width="9" style="998" customWidth="1"/>
    <col min="9479" max="9479" width="10.140625" style="998" customWidth="1"/>
    <col min="9480" max="9480" width="9.140625" style="998"/>
    <col min="9481" max="9481" width="9.28515625" style="998" customWidth="1"/>
    <col min="9482" max="9482" width="9" style="998" customWidth="1"/>
    <col min="9483" max="9728" width="9.140625" style="998"/>
    <col min="9729" max="9729" width="6.28515625" style="998" customWidth="1"/>
    <col min="9730" max="9730" width="39.140625" style="998" customWidth="1"/>
    <col min="9731" max="9731" width="19.140625" style="998" bestFit="1" customWidth="1"/>
    <col min="9732" max="9732" width="10.7109375" style="998" customWidth="1"/>
    <col min="9733" max="9733" width="9.28515625" style="998" customWidth="1"/>
    <col min="9734" max="9734" width="9" style="998" customWidth="1"/>
    <col min="9735" max="9735" width="10.140625" style="998" customWidth="1"/>
    <col min="9736" max="9736" width="9.140625" style="998"/>
    <col min="9737" max="9737" width="9.28515625" style="998" customWidth="1"/>
    <col min="9738" max="9738" width="9" style="998" customWidth="1"/>
    <col min="9739" max="9984" width="9.140625" style="998"/>
    <col min="9985" max="9985" width="6.28515625" style="998" customWidth="1"/>
    <col min="9986" max="9986" width="39.140625" style="998" customWidth="1"/>
    <col min="9987" max="9987" width="19.140625" style="998" bestFit="1" customWidth="1"/>
    <col min="9988" max="9988" width="10.7109375" style="998" customWidth="1"/>
    <col min="9989" max="9989" width="9.28515625" style="998" customWidth="1"/>
    <col min="9990" max="9990" width="9" style="998" customWidth="1"/>
    <col min="9991" max="9991" width="10.140625" style="998" customWidth="1"/>
    <col min="9992" max="9992" width="9.140625" style="998"/>
    <col min="9993" max="9993" width="9.28515625" style="998" customWidth="1"/>
    <col min="9994" max="9994" width="9" style="998" customWidth="1"/>
    <col min="9995" max="10240" width="9.140625" style="998"/>
    <col min="10241" max="10241" width="6.28515625" style="998" customWidth="1"/>
    <col min="10242" max="10242" width="39.140625" style="998" customWidth="1"/>
    <col min="10243" max="10243" width="19.140625" style="998" bestFit="1" customWidth="1"/>
    <col min="10244" max="10244" width="10.7109375" style="998" customWidth="1"/>
    <col min="10245" max="10245" width="9.28515625" style="998" customWidth="1"/>
    <col min="10246" max="10246" width="9" style="998" customWidth="1"/>
    <col min="10247" max="10247" width="10.140625" style="998" customWidth="1"/>
    <col min="10248" max="10248" width="9.140625" style="998"/>
    <col min="10249" max="10249" width="9.28515625" style="998" customWidth="1"/>
    <col min="10250" max="10250" width="9" style="998" customWidth="1"/>
    <col min="10251" max="10496" width="9.140625" style="998"/>
    <col min="10497" max="10497" width="6.28515625" style="998" customWidth="1"/>
    <col min="10498" max="10498" width="39.140625" style="998" customWidth="1"/>
    <col min="10499" max="10499" width="19.140625" style="998" bestFit="1" customWidth="1"/>
    <col min="10500" max="10500" width="10.7109375" style="998" customWidth="1"/>
    <col min="10501" max="10501" width="9.28515625" style="998" customWidth="1"/>
    <col min="10502" max="10502" width="9" style="998" customWidth="1"/>
    <col min="10503" max="10503" width="10.140625" style="998" customWidth="1"/>
    <col min="10504" max="10504" width="9.140625" style="998"/>
    <col min="10505" max="10505" width="9.28515625" style="998" customWidth="1"/>
    <col min="10506" max="10506" width="9" style="998" customWidth="1"/>
    <col min="10507" max="10752" width="9.140625" style="998"/>
    <col min="10753" max="10753" width="6.28515625" style="998" customWidth="1"/>
    <col min="10754" max="10754" width="39.140625" style="998" customWidth="1"/>
    <col min="10755" max="10755" width="19.140625" style="998" bestFit="1" customWidth="1"/>
    <col min="10756" max="10756" width="10.7109375" style="998" customWidth="1"/>
    <col min="10757" max="10757" width="9.28515625" style="998" customWidth="1"/>
    <col min="10758" max="10758" width="9" style="998" customWidth="1"/>
    <col min="10759" max="10759" width="10.140625" style="998" customWidth="1"/>
    <col min="10760" max="10760" width="9.140625" style="998"/>
    <col min="10761" max="10761" width="9.28515625" style="998" customWidth="1"/>
    <col min="10762" max="10762" width="9" style="998" customWidth="1"/>
    <col min="10763" max="11008" width="9.140625" style="998"/>
    <col min="11009" max="11009" width="6.28515625" style="998" customWidth="1"/>
    <col min="11010" max="11010" width="39.140625" style="998" customWidth="1"/>
    <col min="11011" max="11011" width="19.140625" style="998" bestFit="1" customWidth="1"/>
    <col min="11012" max="11012" width="10.7109375" style="998" customWidth="1"/>
    <col min="11013" max="11013" width="9.28515625" style="998" customWidth="1"/>
    <col min="11014" max="11014" width="9" style="998" customWidth="1"/>
    <col min="11015" max="11015" width="10.140625" style="998" customWidth="1"/>
    <col min="11016" max="11016" width="9.140625" style="998"/>
    <col min="11017" max="11017" width="9.28515625" style="998" customWidth="1"/>
    <col min="11018" max="11018" width="9" style="998" customWidth="1"/>
    <col min="11019" max="11264" width="9.140625" style="998"/>
    <col min="11265" max="11265" width="6.28515625" style="998" customWidth="1"/>
    <col min="11266" max="11266" width="39.140625" style="998" customWidth="1"/>
    <col min="11267" max="11267" width="19.140625" style="998" bestFit="1" customWidth="1"/>
    <col min="11268" max="11268" width="10.7109375" style="998" customWidth="1"/>
    <col min="11269" max="11269" width="9.28515625" style="998" customWidth="1"/>
    <col min="11270" max="11270" width="9" style="998" customWidth="1"/>
    <col min="11271" max="11271" width="10.140625" style="998" customWidth="1"/>
    <col min="11272" max="11272" width="9.140625" style="998"/>
    <col min="11273" max="11273" width="9.28515625" style="998" customWidth="1"/>
    <col min="11274" max="11274" width="9" style="998" customWidth="1"/>
    <col min="11275" max="11520" width="9.140625" style="998"/>
    <col min="11521" max="11521" width="6.28515625" style="998" customWidth="1"/>
    <col min="11522" max="11522" width="39.140625" style="998" customWidth="1"/>
    <col min="11523" max="11523" width="19.140625" style="998" bestFit="1" customWidth="1"/>
    <col min="11524" max="11524" width="10.7109375" style="998" customWidth="1"/>
    <col min="11525" max="11525" width="9.28515625" style="998" customWidth="1"/>
    <col min="11526" max="11526" width="9" style="998" customWidth="1"/>
    <col min="11527" max="11527" width="10.140625" style="998" customWidth="1"/>
    <col min="11528" max="11528" width="9.140625" style="998"/>
    <col min="11529" max="11529" width="9.28515625" style="998" customWidth="1"/>
    <col min="11530" max="11530" width="9" style="998" customWidth="1"/>
    <col min="11531" max="11776" width="9.140625" style="998"/>
    <col min="11777" max="11777" width="6.28515625" style="998" customWidth="1"/>
    <col min="11778" max="11778" width="39.140625" style="998" customWidth="1"/>
    <col min="11779" max="11779" width="19.140625" style="998" bestFit="1" customWidth="1"/>
    <col min="11780" max="11780" width="10.7109375" style="998" customWidth="1"/>
    <col min="11781" max="11781" width="9.28515625" style="998" customWidth="1"/>
    <col min="11782" max="11782" width="9" style="998" customWidth="1"/>
    <col min="11783" max="11783" width="10.140625" style="998" customWidth="1"/>
    <col min="11784" max="11784" width="9.140625" style="998"/>
    <col min="11785" max="11785" width="9.28515625" style="998" customWidth="1"/>
    <col min="11786" max="11786" width="9" style="998" customWidth="1"/>
    <col min="11787" max="12032" width="9.140625" style="998"/>
    <col min="12033" max="12033" width="6.28515625" style="998" customWidth="1"/>
    <col min="12034" max="12034" width="39.140625" style="998" customWidth="1"/>
    <col min="12035" max="12035" width="19.140625" style="998" bestFit="1" customWidth="1"/>
    <col min="12036" max="12036" width="10.7109375" style="998" customWidth="1"/>
    <col min="12037" max="12037" width="9.28515625" style="998" customWidth="1"/>
    <col min="12038" max="12038" width="9" style="998" customWidth="1"/>
    <col min="12039" max="12039" width="10.140625" style="998" customWidth="1"/>
    <col min="12040" max="12040" width="9.140625" style="998"/>
    <col min="12041" max="12041" width="9.28515625" style="998" customWidth="1"/>
    <col min="12042" max="12042" width="9" style="998" customWidth="1"/>
    <col min="12043" max="12288" width="9.140625" style="998"/>
    <col min="12289" max="12289" width="6.28515625" style="998" customWidth="1"/>
    <col min="12290" max="12290" width="39.140625" style="998" customWidth="1"/>
    <col min="12291" max="12291" width="19.140625" style="998" bestFit="1" customWidth="1"/>
    <col min="12292" max="12292" width="10.7109375" style="998" customWidth="1"/>
    <col min="12293" max="12293" width="9.28515625" style="998" customWidth="1"/>
    <col min="12294" max="12294" width="9" style="998" customWidth="1"/>
    <col min="12295" max="12295" width="10.140625" style="998" customWidth="1"/>
    <col min="12296" max="12296" width="9.140625" style="998"/>
    <col min="12297" max="12297" width="9.28515625" style="998" customWidth="1"/>
    <col min="12298" max="12298" width="9" style="998" customWidth="1"/>
    <col min="12299" max="12544" width="9.140625" style="998"/>
    <col min="12545" max="12545" width="6.28515625" style="998" customWidth="1"/>
    <col min="12546" max="12546" width="39.140625" style="998" customWidth="1"/>
    <col min="12547" max="12547" width="19.140625" style="998" bestFit="1" customWidth="1"/>
    <col min="12548" max="12548" width="10.7109375" style="998" customWidth="1"/>
    <col min="12549" max="12549" width="9.28515625" style="998" customWidth="1"/>
    <col min="12550" max="12550" width="9" style="998" customWidth="1"/>
    <col min="12551" max="12551" width="10.140625" style="998" customWidth="1"/>
    <col min="12552" max="12552" width="9.140625" style="998"/>
    <col min="12553" max="12553" width="9.28515625" style="998" customWidth="1"/>
    <col min="12554" max="12554" width="9" style="998" customWidth="1"/>
    <col min="12555" max="12800" width="9.140625" style="998"/>
    <col min="12801" max="12801" width="6.28515625" style="998" customWidth="1"/>
    <col min="12802" max="12802" width="39.140625" style="998" customWidth="1"/>
    <col min="12803" max="12803" width="19.140625" style="998" bestFit="1" customWidth="1"/>
    <col min="12804" max="12804" width="10.7109375" style="998" customWidth="1"/>
    <col min="12805" max="12805" width="9.28515625" style="998" customWidth="1"/>
    <col min="12806" max="12806" width="9" style="998" customWidth="1"/>
    <col min="12807" max="12807" width="10.140625" style="998" customWidth="1"/>
    <col min="12808" max="12808" width="9.140625" style="998"/>
    <col min="12809" max="12809" width="9.28515625" style="998" customWidth="1"/>
    <col min="12810" max="12810" width="9" style="998" customWidth="1"/>
    <col min="12811" max="13056" width="9.140625" style="998"/>
    <col min="13057" max="13057" width="6.28515625" style="998" customWidth="1"/>
    <col min="13058" max="13058" width="39.140625" style="998" customWidth="1"/>
    <col min="13059" max="13059" width="19.140625" style="998" bestFit="1" customWidth="1"/>
    <col min="13060" max="13060" width="10.7109375" style="998" customWidth="1"/>
    <col min="13061" max="13061" width="9.28515625" style="998" customWidth="1"/>
    <col min="13062" max="13062" width="9" style="998" customWidth="1"/>
    <col min="13063" max="13063" width="10.140625" style="998" customWidth="1"/>
    <col min="13064" max="13064" width="9.140625" style="998"/>
    <col min="13065" max="13065" width="9.28515625" style="998" customWidth="1"/>
    <col min="13066" max="13066" width="9" style="998" customWidth="1"/>
    <col min="13067" max="13312" width="9.140625" style="998"/>
    <col min="13313" max="13313" width="6.28515625" style="998" customWidth="1"/>
    <col min="13314" max="13314" width="39.140625" style="998" customWidth="1"/>
    <col min="13315" max="13315" width="19.140625" style="998" bestFit="1" customWidth="1"/>
    <col min="13316" max="13316" width="10.7109375" style="998" customWidth="1"/>
    <col min="13317" max="13317" width="9.28515625" style="998" customWidth="1"/>
    <col min="13318" max="13318" width="9" style="998" customWidth="1"/>
    <col min="13319" max="13319" width="10.140625" style="998" customWidth="1"/>
    <col min="13320" max="13320" width="9.140625" style="998"/>
    <col min="13321" max="13321" width="9.28515625" style="998" customWidth="1"/>
    <col min="13322" max="13322" width="9" style="998" customWidth="1"/>
    <col min="13323" max="13568" width="9.140625" style="998"/>
    <col min="13569" max="13569" width="6.28515625" style="998" customWidth="1"/>
    <col min="13570" max="13570" width="39.140625" style="998" customWidth="1"/>
    <col min="13571" max="13571" width="19.140625" style="998" bestFit="1" customWidth="1"/>
    <col min="13572" max="13572" width="10.7109375" style="998" customWidth="1"/>
    <col min="13573" max="13573" width="9.28515625" style="998" customWidth="1"/>
    <col min="13574" max="13574" width="9" style="998" customWidth="1"/>
    <col min="13575" max="13575" width="10.140625" style="998" customWidth="1"/>
    <col min="13576" max="13576" width="9.140625" style="998"/>
    <col min="13577" max="13577" width="9.28515625" style="998" customWidth="1"/>
    <col min="13578" max="13578" width="9" style="998" customWidth="1"/>
    <col min="13579" max="13824" width="9.140625" style="998"/>
    <col min="13825" max="13825" width="6.28515625" style="998" customWidth="1"/>
    <col min="13826" max="13826" width="39.140625" style="998" customWidth="1"/>
    <col min="13827" max="13827" width="19.140625" style="998" bestFit="1" customWidth="1"/>
    <col min="13828" max="13828" width="10.7109375" style="998" customWidth="1"/>
    <col min="13829" max="13829" width="9.28515625" style="998" customWidth="1"/>
    <col min="13830" max="13830" width="9" style="998" customWidth="1"/>
    <col min="13831" max="13831" width="10.140625" style="998" customWidth="1"/>
    <col min="13832" max="13832" width="9.140625" style="998"/>
    <col min="13833" max="13833" width="9.28515625" style="998" customWidth="1"/>
    <col min="13834" max="13834" width="9" style="998" customWidth="1"/>
    <col min="13835" max="14080" width="9.140625" style="998"/>
    <col min="14081" max="14081" width="6.28515625" style="998" customWidth="1"/>
    <col min="14082" max="14082" width="39.140625" style="998" customWidth="1"/>
    <col min="14083" max="14083" width="19.140625" style="998" bestFit="1" customWidth="1"/>
    <col min="14084" max="14084" width="10.7109375" style="998" customWidth="1"/>
    <col min="14085" max="14085" width="9.28515625" style="998" customWidth="1"/>
    <col min="14086" max="14086" width="9" style="998" customWidth="1"/>
    <col min="14087" max="14087" width="10.140625" style="998" customWidth="1"/>
    <col min="14088" max="14088" width="9.140625" style="998"/>
    <col min="14089" max="14089" width="9.28515625" style="998" customWidth="1"/>
    <col min="14090" max="14090" width="9" style="998" customWidth="1"/>
    <col min="14091" max="14336" width="9.140625" style="998"/>
    <col min="14337" max="14337" width="6.28515625" style="998" customWidth="1"/>
    <col min="14338" max="14338" width="39.140625" style="998" customWidth="1"/>
    <col min="14339" max="14339" width="19.140625" style="998" bestFit="1" customWidth="1"/>
    <col min="14340" max="14340" width="10.7109375" style="998" customWidth="1"/>
    <col min="14341" max="14341" width="9.28515625" style="998" customWidth="1"/>
    <col min="14342" max="14342" width="9" style="998" customWidth="1"/>
    <col min="14343" max="14343" width="10.140625" style="998" customWidth="1"/>
    <col min="14344" max="14344" width="9.140625" style="998"/>
    <col min="14345" max="14345" width="9.28515625" style="998" customWidth="1"/>
    <col min="14346" max="14346" width="9" style="998" customWidth="1"/>
    <col min="14347" max="14592" width="9.140625" style="998"/>
    <col min="14593" max="14593" width="6.28515625" style="998" customWidth="1"/>
    <col min="14594" max="14594" width="39.140625" style="998" customWidth="1"/>
    <col min="14595" max="14595" width="19.140625" style="998" bestFit="1" customWidth="1"/>
    <col min="14596" max="14596" width="10.7109375" style="998" customWidth="1"/>
    <col min="14597" max="14597" width="9.28515625" style="998" customWidth="1"/>
    <col min="14598" max="14598" width="9" style="998" customWidth="1"/>
    <col min="14599" max="14599" width="10.140625" style="998" customWidth="1"/>
    <col min="14600" max="14600" width="9.140625" style="998"/>
    <col min="14601" max="14601" width="9.28515625" style="998" customWidth="1"/>
    <col min="14602" max="14602" width="9" style="998" customWidth="1"/>
    <col min="14603" max="14848" width="9.140625" style="998"/>
    <col min="14849" max="14849" width="6.28515625" style="998" customWidth="1"/>
    <col min="14850" max="14850" width="39.140625" style="998" customWidth="1"/>
    <col min="14851" max="14851" width="19.140625" style="998" bestFit="1" customWidth="1"/>
    <col min="14852" max="14852" width="10.7109375" style="998" customWidth="1"/>
    <col min="14853" max="14853" width="9.28515625" style="998" customWidth="1"/>
    <col min="14854" max="14854" width="9" style="998" customWidth="1"/>
    <col min="14855" max="14855" width="10.140625" style="998" customWidth="1"/>
    <col min="14856" max="14856" width="9.140625" style="998"/>
    <col min="14857" max="14857" width="9.28515625" style="998" customWidth="1"/>
    <col min="14858" max="14858" width="9" style="998" customWidth="1"/>
    <col min="14859" max="15104" width="9.140625" style="998"/>
    <col min="15105" max="15105" width="6.28515625" style="998" customWidth="1"/>
    <col min="15106" max="15106" width="39.140625" style="998" customWidth="1"/>
    <col min="15107" max="15107" width="19.140625" style="998" bestFit="1" customWidth="1"/>
    <col min="15108" max="15108" width="10.7109375" style="998" customWidth="1"/>
    <col min="15109" max="15109" width="9.28515625" style="998" customWidth="1"/>
    <col min="15110" max="15110" width="9" style="998" customWidth="1"/>
    <col min="15111" max="15111" width="10.140625" style="998" customWidth="1"/>
    <col min="15112" max="15112" width="9.140625" style="998"/>
    <col min="15113" max="15113" width="9.28515625" style="998" customWidth="1"/>
    <col min="15114" max="15114" width="9" style="998" customWidth="1"/>
    <col min="15115" max="15360" width="9.140625" style="998"/>
    <col min="15361" max="15361" width="6.28515625" style="998" customWidth="1"/>
    <col min="15362" max="15362" width="39.140625" style="998" customWidth="1"/>
    <col min="15363" max="15363" width="19.140625" style="998" bestFit="1" customWidth="1"/>
    <col min="15364" max="15364" width="10.7109375" style="998" customWidth="1"/>
    <col min="15365" max="15365" width="9.28515625" style="998" customWidth="1"/>
    <col min="15366" max="15366" width="9" style="998" customWidth="1"/>
    <col min="15367" max="15367" width="10.140625" style="998" customWidth="1"/>
    <col min="15368" max="15368" width="9.140625" style="998"/>
    <col min="15369" max="15369" width="9.28515625" style="998" customWidth="1"/>
    <col min="15370" max="15370" width="9" style="998" customWidth="1"/>
    <col min="15371" max="15616" width="9.140625" style="998"/>
    <col min="15617" max="15617" width="6.28515625" style="998" customWidth="1"/>
    <col min="15618" max="15618" width="39.140625" style="998" customWidth="1"/>
    <col min="15619" max="15619" width="19.140625" style="998" bestFit="1" customWidth="1"/>
    <col min="15620" max="15620" width="10.7109375" style="998" customWidth="1"/>
    <col min="15621" max="15621" width="9.28515625" style="998" customWidth="1"/>
    <col min="15622" max="15622" width="9" style="998" customWidth="1"/>
    <col min="15623" max="15623" width="10.140625" style="998" customWidth="1"/>
    <col min="15624" max="15624" width="9.140625" style="998"/>
    <col min="15625" max="15625" width="9.28515625" style="998" customWidth="1"/>
    <col min="15626" max="15626" width="9" style="998" customWidth="1"/>
    <col min="15627" max="15872" width="9.140625" style="998"/>
    <col min="15873" max="15873" width="6.28515625" style="998" customWidth="1"/>
    <col min="15874" max="15874" width="39.140625" style="998" customWidth="1"/>
    <col min="15875" max="15875" width="19.140625" style="998" bestFit="1" customWidth="1"/>
    <col min="15876" max="15876" width="10.7109375" style="998" customWidth="1"/>
    <col min="15877" max="15877" width="9.28515625" style="998" customWidth="1"/>
    <col min="15878" max="15878" width="9" style="998" customWidth="1"/>
    <col min="15879" max="15879" width="10.140625" style="998" customWidth="1"/>
    <col min="15880" max="15880" width="9.140625" style="998"/>
    <col min="15881" max="15881" width="9.28515625" style="998" customWidth="1"/>
    <col min="15882" max="15882" width="9" style="998" customWidth="1"/>
    <col min="15883" max="16128" width="9.140625" style="998"/>
    <col min="16129" max="16129" width="6.28515625" style="998" customWidth="1"/>
    <col min="16130" max="16130" width="39.140625" style="998" customWidth="1"/>
    <col min="16131" max="16131" width="19.140625" style="998" bestFit="1" customWidth="1"/>
    <col min="16132" max="16132" width="10.7109375" style="998" customWidth="1"/>
    <col min="16133" max="16133" width="9.28515625" style="998" customWidth="1"/>
    <col min="16134" max="16134" width="9" style="998" customWidth="1"/>
    <col min="16135" max="16135" width="10.140625" style="998" customWidth="1"/>
    <col min="16136" max="16136" width="9.140625" style="998"/>
    <col min="16137" max="16137" width="9.28515625" style="998" customWidth="1"/>
    <col min="16138" max="16138" width="9" style="998" customWidth="1"/>
    <col min="16139" max="16384" width="9.140625" style="998"/>
  </cols>
  <sheetData>
    <row r="1" spans="1:42" s="951" customFormat="1" ht="17.649999999999999" customHeight="1">
      <c r="A1" s="1070"/>
      <c r="B1" s="1070"/>
      <c r="C1" s="1070"/>
      <c r="D1" s="1070"/>
      <c r="E1" s="1070"/>
      <c r="F1" s="1070"/>
      <c r="G1" s="1070"/>
      <c r="H1" s="1070"/>
      <c r="I1" s="1070"/>
      <c r="J1" s="1070"/>
      <c r="K1" s="1070"/>
      <c r="L1" s="1070"/>
      <c r="M1" s="1070"/>
      <c r="N1" s="1070"/>
      <c r="O1" s="1070"/>
      <c r="P1" s="1070"/>
    </row>
    <row r="2" spans="1:42" s="951" customFormat="1" ht="12.75">
      <c r="A2" s="952"/>
      <c r="B2" s="953"/>
      <c r="C2" s="952"/>
      <c r="D2" s="954"/>
      <c r="E2" s="955"/>
      <c r="F2" s="956"/>
      <c r="G2" s="957"/>
      <c r="H2" s="958"/>
      <c r="I2" s="959"/>
      <c r="J2" s="960"/>
      <c r="K2" s="959"/>
      <c r="L2" s="959"/>
      <c r="M2" s="959"/>
      <c r="N2" s="959"/>
      <c r="O2" s="959"/>
      <c r="P2" s="959"/>
      <c r="S2" s="959"/>
      <c r="T2" s="959"/>
      <c r="U2" s="959"/>
      <c r="V2" s="959"/>
    </row>
    <row r="3" spans="1:42" s="966" customFormat="1" ht="12.75">
      <c r="A3" s="961"/>
      <c r="B3" s="961"/>
      <c r="C3" s="961"/>
      <c r="D3" s="962"/>
      <c r="E3" s="963"/>
      <c r="F3" s="964"/>
      <c r="G3" s="96"/>
      <c r="H3" s="93"/>
      <c r="I3" s="960"/>
      <c r="J3" s="960"/>
      <c r="K3" s="960"/>
      <c r="L3" s="960"/>
      <c r="M3" s="960"/>
      <c r="N3" s="960"/>
      <c r="O3" s="960"/>
      <c r="P3" s="960"/>
      <c r="Q3" s="965"/>
      <c r="S3" s="960"/>
      <c r="T3" s="960"/>
      <c r="U3" s="960"/>
      <c r="V3" s="960"/>
      <c r="W3" s="965"/>
    </row>
    <row r="4" spans="1:42" s="966" customFormat="1" ht="12.75">
      <c r="A4" s="967" t="str">
        <f>'[4]OBRAS E SERVIÇOS'!A3</f>
        <v>Proprietário: PREFEITURA MUNICIPAL DE CORDEIRÓPOLIS</v>
      </c>
      <c r="B4" s="968"/>
      <c r="C4" s="968"/>
      <c r="D4" s="969"/>
      <c r="E4" s="970"/>
      <c r="F4" s="393"/>
      <c r="G4" s="96"/>
      <c r="H4" s="93"/>
    </row>
    <row r="5" spans="1:42" s="966" customFormat="1" ht="12.75">
      <c r="A5" s="967" t="str">
        <f>'[4]OBRAS E SERVIÇOS'!A4</f>
        <v>Obra : IMPLANTAÇÃO DA ESTAÇÃO DE TRATAMENTO DE ÁGUA - ETA</v>
      </c>
      <c r="B5" s="968"/>
      <c r="C5" s="968"/>
      <c r="D5" s="971"/>
      <c r="E5" s="970"/>
      <c r="F5" s="393"/>
      <c r="G5" s="96"/>
      <c r="H5" s="93"/>
    </row>
    <row r="6" spans="1:42" s="966" customFormat="1" ht="12.75">
      <c r="A6" s="967" t="str">
        <f>'[4]OBRAS E SERVIÇOS'!A5</f>
        <v>Local : MUNICÍPIO DE CORDEIRÓPOLIS</v>
      </c>
      <c r="B6" s="968"/>
      <c r="C6" s="968"/>
      <c r="D6" s="971"/>
      <c r="E6" s="972"/>
      <c r="F6" s="393"/>
      <c r="G6" s="96"/>
      <c r="H6" s="93"/>
    </row>
    <row r="7" spans="1:42" s="966" customFormat="1" ht="12.75" hidden="1">
      <c r="A7" s="967"/>
      <c r="B7" s="968"/>
      <c r="C7" s="968"/>
      <c r="D7" s="971"/>
      <c r="E7" s="972"/>
      <c r="F7" s="393"/>
      <c r="G7" s="96"/>
      <c r="H7" s="93"/>
    </row>
    <row r="8" spans="1:42" s="973" customFormat="1" ht="15" customHeight="1">
      <c r="A8" s="1071" t="s">
        <v>2463</v>
      </c>
      <c r="B8" s="1071"/>
      <c r="C8" s="1071"/>
      <c r="D8" s="1071"/>
      <c r="E8" s="1071"/>
      <c r="F8" s="1071"/>
      <c r="G8" s="1071"/>
      <c r="H8" s="1071"/>
      <c r="I8" s="1071"/>
      <c r="J8" s="1071"/>
      <c r="K8" s="1071"/>
      <c r="L8" s="1071"/>
      <c r="M8" s="1071"/>
      <c r="N8" s="1071"/>
      <c r="O8" s="1071"/>
      <c r="P8" s="1071"/>
      <c r="Q8" s="1071"/>
      <c r="R8" s="1071"/>
      <c r="S8" s="1071"/>
      <c r="T8" s="1071"/>
      <c r="U8" s="1071"/>
      <c r="V8" s="1071"/>
      <c r="W8" s="1071"/>
      <c r="X8" s="1071"/>
    </row>
    <row r="9" spans="1:42" s="973" customFormat="1" ht="9" customHeight="1" thickBot="1">
      <c r="A9" s="974"/>
      <c r="B9" s="974"/>
      <c r="C9" s="974"/>
      <c r="D9" s="974"/>
      <c r="E9" s="974"/>
      <c r="F9" s="974"/>
      <c r="G9" s="975"/>
      <c r="I9" s="976"/>
      <c r="J9" s="977"/>
    </row>
    <row r="10" spans="1:42" s="980" customFormat="1" ht="14.1" customHeight="1" thickTop="1" thickBot="1">
      <c r="A10" s="978"/>
      <c r="B10" s="979"/>
      <c r="C10" s="1072" t="s">
        <v>2464</v>
      </c>
      <c r="D10" s="1072" t="s">
        <v>2465</v>
      </c>
      <c r="E10" s="1069" t="s">
        <v>2466</v>
      </c>
      <c r="F10" s="1069"/>
      <c r="G10" s="1069" t="s">
        <v>2467</v>
      </c>
      <c r="H10" s="1069"/>
      <c r="I10" s="1069" t="s">
        <v>2468</v>
      </c>
      <c r="J10" s="1069"/>
      <c r="K10" s="1069" t="s">
        <v>2469</v>
      </c>
      <c r="L10" s="1069"/>
      <c r="M10" s="1069" t="s">
        <v>2470</v>
      </c>
      <c r="N10" s="1069"/>
      <c r="O10" s="1069" t="s">
        <v>2471</v>
      </c>
      <c r="P10" s="1069"/>
      <c r="Q10" s="1069" t="s">
        <v>2472</v>
      </c>
      <c r="R10" s="1069"/>
      <c r="S10" s="1069" t="s">
        <v>2473</v>
      </c>
      <c r="T10" s="1069"/>
      <c r="U10" s="1069" t="s">
        <v>2474</v>
      </c>
      <c r="V10" s="1069"/>
      <c r="W10" s="1069" t="s">
        <v>2475</v>
      </c>
      <c r="X10" s="1069"/>
      <c r="Y10" s="1069" t="s">
        <v>2476</v>
      </c>
      <c r="Z10" s="1069"/>
      <c r="AA10" s="1069" t="s">
        <v>2477</v>
      </c>
      <c r="AB10" s="1069"/>
      <c r="AC10" s="1069" t="s">
        <v>2478</v>
      </c>
      <c r="AD10" s="1069"/>
      <c r="AE10" s="1069" t="s">
        <v>2479</v>
      </c>
      <c r="AF10" s="1069"/>
      <c r="AG10" s="1069" t="s">
        <v>2480</v>
      </c>
      <c r="AH10" s="1069"/>
      <c r="AI10" s="1069" t="s">
        <v>2481</v>
      </c>
      <c r="AJ10" s="1069"/>
      <c r="AK10" s="1069" t="s">
        <v>2482</v>
      </c>
      <c r="AL10" s="1069"/>
      <c r="AM10" s="1069" t="s">
        <v>2483</v>
      </c>
      <c r="AN10" s="1069"/>
    </row>
    <row r="11" spans="1:42" s="981" customFormat="1" ht="15.6" customHeight="1" thickTop="1" thickBot="1">
      <c r="A11" s="1068" t="s">
        <v>2403</v>
      </c>
      <c r="B11" s="1068"/>
      <c r="C11" s="1072"/>
      <c r="D11" s="1072"/>
      <c r="E11" s="1069"/>
      <c r="F11" s="1069"/>
      <c r="G11" s="1069"/>
      <c r="H11" s="1069"/>
      <c r="I11" s="1069"/>
      <c r="J11" s="1069"/>
      <c r="K11" s="1069"/>
      <c r="L11" s="1069"/>
      <c r="M11" s="1069"/>
      <c r="N11" s="1069"/>
      <c r="O11" s="1069"/>
      <c r="P11" s="1069"/>
      <c r="Q11" s="1069"/>
      <c r="R11" s="1069"/>
      <c r="S11" s="1069"/>
      <c r="T11" s="1069"/>
      <c r="U11" s="1069"/>
      <c r="V11" s="1069"/>
      <c r="W11" s="1069"/>
      <c r="X11" s="1069"/>
      <c r="Y11" s="1069"/>
      <c r="Z11" s="1069"/>
      <c r="AA11" s="1069"/>
      <c r="AB11" s="1069"/>
      <c r="AC11" s="1069"/>
      <c r="AD11" s="1069"/>
      <c r="AE11" s="1069"/>
      <c r="AF11" s="1069"/>
      <c r="AG11" s="1069"/>
      <c r="AH11" s="1069"/>
      <c r="AI11" s="1069"/>
      <c r="AJ11" s="1069"/>
      <c r="AK11" s="1069"/>
      <c r="AL11" s="1069"/>
      <c r="AM11" s="1069"/>
      <c r="AN11" s="1069"/>
    </row>
    <row r="12" spans="1:42" s="981" customFormat="1" ht="15.6" customHeight="1" thickTop="1" thickBot="1">
      <c r="A12" s="982"/>
      <c r="B12" s="983"/>
      <c r="C12" s="1072"/>
      <c r="D12" s="1072"/>
      <c r="E12" s="984" t="s">
        <v>2484</v>
      </c>
      <c r="F12" s="984" t="s">
        <v>2485</v>
      </c>
      <c r="G12" s="984" t="s">
        <v>2484</v>
      </c>
      <c r="H12" s="984" t="s">
        <v>2485</v>
      </c>
      <c r="I12" s="984" t="s">
        <v>2484</v>
      </c>
      <c r="J12" s="984" t="s">
        <v>2485</v>
      </c>
      <c r="K12" s="984" t="s">
        <v>2484</v>
      </c>
      <c r="L12" s="984" t="s">
        <v>2485</v>
      </c>
      <c r="M12" s="984" t="s">
        <v>2484</v>
      </c>
      <c r="N12" s="984" t="s">
        <v>2485</v>
      </c>
      <c r="O12" s="984" t="s">
        <v>2484</v>
      </c>
      <c r="P12" s="984" t="s">
        <v>2485</v>
      </c>
      <c r="Q12" s="984" t="s">
        <v>2484</v>
      </c>
      <c r="R12" s="984" t="s">
        <v>2485</v>
      </c>
      <c r="S12" s="984" t="s">
        <v>2484</v>
      </c>
      <c r="T12" s="984" t="s">
        <v>2485</v>
      </c>
      <c r="U12" s="984" t="s">
        <v>2484</v>
      </c>
      <c r="V12" s="984" t="s">
        <v>2485</v>
      </c>
      <c r="W12" s="984" t="s">
        <v>2484</v>
      </c>
      <c r="X12" s="984" t="s">
        <v>2485</v>
      </c>
      <c r="Y12" s="984" t="s">
        <v>2484</v>
      </c>
      <c r="Z12" s="984" t="s">
        <v>2485</v>
      </c>
      <c r="AA12" s="984" t="s">
        <v>2484</v>
      </c>
      <c r="AB12" s="984" t="s">
        <v>2485</v>
      </c>
      <c r="AC12" s="984" t="s">
        <v>2484</v>
      </c>
      <c r="AD12" s="984" t="s">
        <v>2485</v>
      </c>
      <c r="AE12" s="984" t="s">
        <v>2484</v>
      </c>
      <c r="AF12" s="984" t="s">
        <v>2485</v>
      </c>
      <c r="AG12" s="984" t="s">
        <v>2484</v>
      </c>
      <c r="AH12" s="984" t="s">
        <v>2485</v>
      </c>
      <c r="AI12" s="984" t="s">
        <v>2484</v>
      </c>
      <c r="AJ12" s="984" t="s">
        <v>2485</v>
      </c>
      <c r="AK12" s="984" t="s">
        <v>2484</v>
      </c>
      <c r="AL12" s="984" t="s">
        <v>2485</v>
      </c>
      <c r="AM12" s="984" t="s">
        <v>2484</v>
      </c>
      <c r="AN12" s="984" t="s">
        <v>2485</v>
      </c>
    </row>
    <row r="13" spans="1:42" s="981" customFormat="1" ht="18" thickTop="1" thickBot="1">
      <c r="A13" s="985"/>
      <c r="B13" s="992" t="s">
        <v>2486</v>
      </c>
      <c r="C13" s="987"/>
      <c r="D13" s="988"/>
      <c r="E13" s="989"/>
      <c r="F13" s="990"/>
      <c r="G13" s="989"/>
      <c r="H13" s="990"/>
      <c r="I13" s="989"/>
      <c r="J13" s="990"/>
      <c r="K13" s="989"/>
      <c r="L13" s="990"/>
      <c r="M13" s="989"/>
      <c r="N13" s="990"/>
      <c r="O13" s="989"/>
      <c r="P13" s="990"/>
      <c r="Q13" s="989"/>
      <c r="R13" s="990"/>
      <c r="S13" s="989"/>
      <c r="T13" s="990"/>
      <c r="U13" s="989"/>
      <c r="V13" s="990"/>
      <c r="W13" s="989"/>
      <c r="X13" s="990"/>
      <c r="Y13" s="989"/>
      <c r="Z13" s="990"/>
      <c r="AA13" s="989"/>
      <c r="AB13" s="990"/>
      <c r="AC13" s="989"/>
      <c r="AD13" s="990"/>
      <c r="AE13" s="989"/>
      <c r="AF13" s="990"/>
      <c r="AG13" s="989"/>
      <c r="AH13" s="990"/>
      <c r="AI13" s="989"/>
      <c r="AJ13" s="990"/>
      <c r="AK13" s="989"/>
      <c r="AL13" s="990"/>
      <c r="AM13" s="989"/>
      <c r="AN13" s="990"/>
    </row>
    <row r="14" spans="1:42" s="981" customFormat="1" ht="17.25" thickBot="1">
      <c r="A14" s="985" t="s">
        <v>20</v>
      </c>
      <c r="B14" s="986" t="s">
        <v>2487</v>
      </c>
      <c r="C14" s="987">
        <f>'OBRAS E SERVIÇOS'!M134</f>
        <v>1189018.06</v>
      </c>
      <c r="D14" s="988">
        <f t="shared" ref="D14:D50" si="0">C14/$C$87</f>
        <v>0.10159666726158628</v>
      </c>
      <c r="E14" s="989">
        <v>6.5</v>
      </c>
      <c r="F14" s="990">
        <f>E14</f>
        <v>6.5</v>
      </c>
      <c r="G14" s="989">
        <v>5.5</v>
      </c>
      <c r="H14" s="990">
        <f>F14+G14</f>
        <v>12</v>
      </c>
      <c r="I14" s="989">
        <f>G14</f>
        <v>5.5</v>
      </c>
      <c r="J14" s="990">
        <f>H14+I14</f>
        <v>17.5</v>
      </c>
      <c r="K14" s="989">
        <f>I14</f>
        <v>5.5</v>
      </c>
      <c r="L14" s="990">
        <f>J14+K14</f>
        <v>23</v>
      </c>
      <c r="M14" s="989">
        <f>K14</f>
        <v>5.5</v>
      </c>
      <c r="N14" s="990">
        <f>L14+M14</f>
        <v>28.5</v>
      </c>
      <c r="O14" s="989">
        <f>M14</f>
        <v>5.5</v>
      </c>
      <c r="P14" s="990">
        <f>N14+O14</f>
        <v>34</v>
      </c>
      <c r="Q14" s="989">
        <f>O14</f>
        <v>5.5</v>
      </c>
      <c r="R14" s="990">
        <f>P14+Q14</f>
        <v>39.5</v>
      </c>
      <c r="S14" s="989">
        <f>Q14</f>
        <v>5.5</v>
      </c>
      <c r="T14" s="990">
        <f>R14+S14</f>
        <v>45</v>
      </c>
      <c r="U14" s="989">
        <f>S14</f>
        <v>5.5</v>
      </c>
      <c r="V14" s="990">
        <f>T14+U14</f>
        <v>50.5</v>
      </c>
      <c r="W14" s="989">
        <f>U14</f>
        <v>5.5</v>
      </c>
      <c r="X14" s="990">
        <f>V14+W14</f>
        <v>56</v>
      </c>
      <c r="Y14" s="989">
        <f>W14</f>
        <v>5.5</v>
      </c>
      <c r="Z14" s="990">
        <f>X14+Y14</f>
        <v>61.5</v>
      </c>
      <c r="AA14" s="989">
        <f>Y14</f>
        <v>5.5</v>
      </c>
      <c r="AB14" s="990">
        <f>Z14+AA14</f>
        <v>67</v>
      </c>
      <c r="AC14" s="989">
        <f>AA14</f>
        <v>5.5</v>
      </c>
      <c r="AD14" s="990">
        <f>AB14+AC14</f>
        <v>72.5</v>
      </c>
      <c r="AE14" s="989">
        <f>AC14</f>
        <v>5.5</v>
      </c>
      <c r="AF14" s="990">
        <f>AD14+AE14</f>
        <v>78</v>
      </c>
      <c r="AG14" s="989">
        <f>AE14</f>
        <v>5.5</v>
      </c>
      <c r="AH14" s="990">
        <f>AF14+AG14</f>
        <v>83.5</v>
      </c>
      <c r="AI14" s="989">
        <f>AG14</f>
        <v>5.5</v>
      </c>
      <c r="AJ14" s="990">
        <f>AH14+AI14</f>
        <v>89</v>
      </c>
      <c r="AK14" s="989">
        <f>AI14</f>
        <v>5.5</v>
      </c>
      <c r="AL14" s="990">
        <f>AJ14+AK14</f>
        <v>94.5</v>
      </c>
      <c r="AM14" s="989">
        <f>AK14</f>
        <v>5.5</v>
      </c>
      <c r="AN14" s="990">
        <f>AL14+AM14</f>
        <v>100</v>
      </c>
      <c r="AP14" s="1018"/>
    </row>
    <row r="15" spans="1:42" s="981" customFormat="1" ht="17.25" thickBot="1">
      <c r="A15" s="985" t="s">
        <v>19</v>
      </c>
      <c r="B15" s="986" t="s">
        <v>2488</v>
      </c>
      <c r="C15" s="987">
        <f>'OBRAS E SERVIÇOS'!M170</f>
        <v>257749.70000000004</v>
      </c>
      <c r="D15" s="988">
        <f t="shared" si="0"/>
        <v>2.2023644037562969E-2</v>
      </c>
      <c r="E15" s="989"/>
      <c r="F15" s="990">
        <f t="shared" ref="F15:F50" si="1">E15</f>
        <v>0</v>
      </c>
      <c r="G15" s="989"/>
      <c r="H15" s="990">
        <f t="shared" ref="H15:H50" si="2">F15+G15</f>
        <v>0</v>
      </c>
      <c r="I15" s="989"/>
      <c r="J15" s="990">
        <f t="shared" ref="J15:J50" si="3">H15+I15</f>
        <v>0</v>
      </c>
      <c r="K15" s="989"/>
      <c r="L15" s="990">
        <f t="shared" ref="L15:L50" si="4">J15+K15</f>
        <v>0</v>
      </c>
      <c r="M15" s="989"/>
      <c r="N15" s="990">
        <f t="shared" ref="N15:N50" si="5">L15+M15</f>
        <v>0</v>
      </c>
      <c r="O15" s="989">
        <v>25</v>
      </c>
      <c r="P15" s="990">
        <f t="shared" ref="P15:P50" si="6">N15+O15</f>
        <v>25</v>
      </c>
      <c r="Q15" s="989">
        <v>35</v>
      </c>
      <c r="R15" s="990">
        <f t="shared" ref="R15:R74" si="7">P15+Q15</f>
        <v>60</v>
      </c>
      <c r="S15" s="989">
        <v>20</v>
      </c>
      <c r="T15" s="990">
        <f t="shared" ref="T15:T74" si="8">R15+S15</f>
        <v>80</v>
      </c>
      <c r="U15" s="989">
        <v>20</v>
      </c>
      <c r="V15" s="990">
        <f t="shared" ref="V15:V74" si="9">T15+U15</f>
        <v>100</v>
      </c>
      <c r="W15" s="989"/>
      <c r="X15" s="990">
        <f t="shared" ref="X15:X74" si="10">V15+W15</f>
        <v>100</v>
      </c>
      <c r="Y15" s="989"/>
      <c r="Z15" s="990">
        <f t="shared" ref="Z15:Z74" si="11">X15+Y15</f>
        <v>100</v>
      </c>
      <c r="AA15" s="989"/>
      <c r="AB15" s="990">
        <f t="shared" ref="AB15:AB74" si="12">Z15+AA15</f>
        <v>100</v>
      </c>
      <c r="AC15" s="989"/>
      <c r="AD15" s="990">
        <f t="shared" ref="AD15:AD74" si="13">AB15+AC15</f>
        <v>100</v>
      </c>
      <c r="AE15" s="989"/>
      <c r="AF15" s="990">
        <f t="shared" ref="AF15:AF74" si="14">AD15+AE15</f>
        <v>100</v>
      </c>
      <c r="AG15" s="989"/>
      <c r="AH15" s="990">
        <f t="shared" ref="AH15:AH74" si="15">AF15+AG15</f>
        <v>100</v>
      </c>
      <c r="AI15" s="989"/>
      <c r="AJ15" s="990">
        <f t="shared" ref="AJ15:AJ74" si="16">AH15+AI15</f>
        <v>100</v>
      </c>
      <c r="AK15" s="989"/>
      <c r="AL15" s="990">
        <f t="shared" ref="AL15:AL74" si="17">AJ15+AK15</f>
        <v>100</v>
      </c>
      <c r="AM15" s="989"/>
      <c r="AN15" s="990">
        <f t="shared" ref="AN15:AN74" si="18">AL15+AM15</f>
        <v>100</v>
      </c>
      <c r="AP15" s="1018"/>
    </row>
    <row r="16" spans="1:42" s="981" customFormat="1" ht="17.25" thickBot="1">
      <c r="A16" s="985" t="s">
        <v>18</v>
      </c>
      <c r="B16" s="986" t="s">
        <v>1953</v>
      </c>
      <c r="C16" s="987">
        <f>'OBRAS E SERVIÇOS'!M190</f>
        <v>11824.730000000001</v>
      </c>
      <c r="D16" s="988">
        <f t="shared" si="0"/>
        <v>1.0103741900001899E-3</v>
      </c>
      <c r="E16" s="989"/>
      <c r="F16" s="990">
        <f t="shared" si="1"/>
        <v>0</v>
      </c>
      <c r="G16" s="989"/>
      <c r="H16" s="990">
        <f t="shared" si="2"/>
        <v>0</v>
      </c>
      <c r="I16" s="989"/>
      <c r="J16" s="990">
        <f t="shared" si="3"/>
        <v>0</v>
      </c>
      <c r="K16" s="989"/>
      <c r="L16" s="990">
        <f t="shared" si="4"/>
        <v>0</v>
      </c>
      <c r="M16" s="989"/>
      <c r="N16" s="990">
        <f t="shared" si="5"/>
        <v>0</v>
      </c>
      <c r="O16" s="989"/>
      <c r="P16" s="990">
        <f t="shared" si="6"/>
        <v>0</v>
      </c>
      <c r="Q16" s="989"/>
      <c r="R16" s="990">
        <f t="shared" si="7"/>
        <v>0</v>
      </c>
      <c r="S16" s="989"/>
      <c r="T16" s="990">
        <f t="shared" si="8"/>
        <v>0</v>
      </c>
      <c r="U16" s="989"/>
      <c r="V16" s="990">
        <f t="shared" si="9"/>
        <v>0</v>
      </c>
      <c r="W16" s="989">
        <v>35</v>
      </c>
      <c r="X16" s="990">
        <f t="shared" si="10"/>
        <v>35</v>
      </c>
      <c r="Y16" s="989">
        <v>30</v>
      </c>
      <c r="Z16" s="990">
        <f t="shared" si="11"/>
        <v>65</v>
      </c>
      <c r="AA16" s="989">
        <v>35</v>
      </c>
      <c r="AB16" s="990">
        <f t="shared" si="12"/>
        <v>100</v>
      </c>
      <c r="AC16" s="989"/>
      <c r="AD16" s="990">
        <f t="shared" si="13"/>
        <v>100</v>
      </c>
      <c r="AE16" s="989"/>
      <c r="AF16" s="990">
        <f t="shared" si="14"/>
        <v>100</v>
      </c>
      <c r="AG16" s="989"/>
      <c r="AH16" s="990">
        <f t="shared" si="15"/>
        <v>100</v>
      </c>
      <c r="AI16" s="989"/>
      <c r="AJ16" s="990">
        <f t="shared" si="16"/>
        <v>100</v>
      </c>
      <c r="AK16" s="989"/>
      <c r="AL16" s="990">
        <f t="shared" si="17"/>
        <v>100</v>
      </c>
      <c r="AM16" s="989"/>
      <c r="AN16" s="990">
        <f t="shared" si="18"/>
        <v>100</v>
      </c>
      <c r="AP16" s="1018"/>
    </row>
    <row r="17" spans="1:42" s="981" customFormat="1" ht="24.75" customHeight="1" thickBot="1">
      <c r="A17" s="985" t="s">
        <v>17</v>
      </c>
      <c r="B17" s="986" t="s">
        <v>1958</v>
      </c>
      <c r="C17" s="987">
        <f>'OBRAS E SERVIÇOS'!M249</f>
        <v>30581.109999999993</v>
      </c>
      <c r="D17" s="988">
        <f t="shared" si="0"/>
        <v>2.6130291554696552E-3</v>
      </c>
      <c r="E17" s="989"/>
      <c r="F17" s="990">
        <f t="shared" si="1"/>
        <v>0</v>
      </c>
      <c r="G17" s="989"/>
      <c r="H17" s="990">
        <f t="shared" si="2"/>
        <v>0</v>
      </c>
      <c r="I17" s="989"/>
      <c r="J17" s="990">
        <f t="shared" si="3"/>
        <v>0</v>
      </c>
      <c r="K17" s="989"/>
      <c r="L17" s="990">
        <f t="shared" si="4"/>
        <v>0</v>
      </c>
      <c r="M17" s="989"/>
      <c r="N17" s="990">
        <f t="shared" si="5"/>
        <v>0</v>
      </c>
      <c r="O17" s="989"/>
      <c r="P17" s="990">
        <f t="shared" si="6"/>
        <v>0</v>
      </c>
      <c r="Q17" s="989"/>
      <c r="R17" s="990">
        <f t="shared" si="7"/>
        <v>0</v>
      </c>
      <c r="S17" s="989"/>
      <c r="T17" s="990">
        <f t="shared" si="8"/>
        <v>0</v>
      </c>
      <c r="U17" s="989"/>
      <c r="V17" s="990">
        <f t="shared" si="9"/>
        <v>0</v>
      </c>
      <c r="W17" s="989"/>
      <c r="X17" s="990">
        <f t="shared" si="10"/>
        <v>0</v>
      </c>
      <c r="Y17" s="989">
        <v>25</v>
      </c>
      <c r="Z17" s="990">
        <f t="shared" si="11"/>
        <v>25</v>
      </c>
      <c r="AA17" s="989">
        <v>30</v>
      </c>
      <c r="AB17" s="990">
        <f t="shared" si="12"/>
        <v>55</v>
      </c>
      <c r="AC17" s="989">
        <v>45</v>
      </c>
      <c r="AD17" s="990">
        <f t="shared" si="13"/>
        <v>100</v>
      </c>
      <c r="AE17" s="989"/>
      <c r="AF17" s="990">
        <f t="shared" si="14"/>
        <v>100</v>
      </c>
      <c r="AG17" s="989"/>
      <c r="AH17" s="990">
        <f t="shared" si="15"/>
        <v>100</v>
      </c>
      <c r="AI17" s="989"/>
      <c r="AJ17" s="990">
        <f t="shared" si="16"/>
        <v>100</v>
      </c>
      <c r="AK17" s="989"/>
      <c r="AL17" s="990">
        <f t="shared" si="17"/>
        <v>100</v>
      </c>
      <c r="AM17" s="989"/>
      <c r="AN17" s="990">
        <f t="shared" si="18"/>
        <v>100</v>
      </c>
      <c r="AP17" s="1018"/>
    </row>
    <row r="18" spans="1:42" s="981" customFormat="1" ht="17.25" thickBot="1">
      <c r="A18" s="985" t="s">
        <v>16</v>
      </c>
      <c r="B18" s="986" t="s">
        <v>1960</v>
      </c>
      <c r="C18" s="987">
        <f>'OBRAS E SERVIÇOS'!M300</f>
        <v>55363.259999999995</v>
      </c>
      <c r="D18" s="988">
        <f t="shared" si="0"/>
        <v>4.7305612033653119E-3</v>
      </c>
      <c r="E18" s="989"/>
      <c r="F18" s="990">
        <f t="shared" si="1"/>
        <v>0</v>
      </c>
      <c r="G18" s="989"/>
      <c r="H18" s="990">
        <f t="shared" si="2"/>
        <v>0</v>
      </c>
      <c r="I18" s="989">
        <v>25</v>
      </c>
      <c r="J18" s="990">
        <f t="shared" si="3"/>
        <v>25</v>
      </c>
      <c r="K18" s="989">
        <v>30</v>
      </c>
      <c r="L18" s="990">
        <f t="shared" si="4"/>
        <v>55</v>
      </c>
      <c r="M18" s="989">
        <v>45</v>
      </c>
      <c r="N18" s="990">
        <f t="shared" si="5"/>
        <v>100</v>
      </c>
      <c r="O18" s="989"/>
      <c r="P18" s="990">
        <f t="shared" si="6"/>
        <v>100</v>
      </c>
      <c r="Q18" s="989"/>
      <c r="R18" s="990">
        <f t="shared" si="7"/>
        <v>100</v>
      </c>
      <c r="S18" s="989"/>
      <c r="T18" s="990">
        <f t="shared" si="8"/>
        <v>100</v>
      </c>
      <c r="U18" s="989"/>
      <c r="V18" s="990">
        <f t="shared" si="9"/>
        <v>100</v>
      </c>
      <c r="W18" s="989"/>
      <c r="X18" s="990">
        <f t="shared" si="10"/>
        <v>100</v>
      </c>
      <c r="Y18" s="989"/>
      <c r="Z18" s="990">
        <f t="shared" si="11"/>
        <v>100</v>
      </c>
      <c r="AA18" s="989"/>
      <c r="AB18" s="990">
        <f t="shared" si="12"/>
        <v>100</v>
      </c>
      <c r="AC18" s="989"/>
      <c r="AD18" s="990">
        <f t="shared" si="13"/>
        <v>100</v>
      </c>
      <c r="AE18" s="989"/>
      <c r="AF18" s="990">
        <f t="shared" si="14"/>
        <v>100</v>
      </c>
      <c r="AG18" s="989"/>
      <c r="AH18" s="990">
        <f t="shared" si="15"/>
        <v>100</v>
      </c>
      <c r="AI18" s="989"/>
      <c r="AJ18" s="990">
        <f t="shared" si="16"/>
        <v>100</v>
      </c>
      <c r="AK18" s="989"/>
      <c r="AL18" s="990">
        <f t="shared" si="17"/>
        <v>100</v>
      </c>
      <c r="AM18" s="989"/>
      <c r="AN18" s="990">
        <f t="shared" si="18"/>
        <v>100</v>
      </c>
      <c r="AP18" s="1018"/>
    </row>
    <row r="19" spans="1:42" s="981" customFormat="1" ht="17.25" thickBot="1">
      <c r="A19" s="985" t="s">
        <v>15</v>
      </c>
      <c r="B19" s="986" t="s">
        <v>2489</v>
      </c>
      <c r="C19" s="987">
        <f>'OBRAS E SERVIÇOS'!M334</f>
        <v>1840.3700000000001</v>
      </c>
      <c r="D19" s="988">
        <f t="shared" si="0"/>
        <v>1.5725199205822454E-4</v>
      </c>
      <c r="E19" s="989"/>
      <c r="F19" s="990">
        <f t="shared" si="1"/>
        <v>0</v>
      </c>
      <c r="G19" s="989"/>
      <c r="H19" s="990">
        <f t="shared" si="2"/>
        <v>0</v>
      </c>
      <c r="I19" s="989"/>
      <c r="J19" s="990">
        <f t="shared" si="3"/>
        <v>0</v>
      </c>
      <c r="K19" s="989"/>
      <c r="L19" s="990">
        <f t="shared" si="4"/>
        <v>0</v>
      </c>
      <c r="M19" s="989"/>
      <c r="N19" s="990">
        <f t="shared" si="5"/>
        <v>0</v>
      </c>
      <c r="O19" s="989"/>
      <c r="P19" s="990">
        <f t="shared" si="6"/>
        <v>0</v>
      </c>
      <c r="Q19" s="989">
        <v>100</v>
      </c>
      <c r="R19" s="990">
        <f t="shared" si="7"/>
        <v>100</v>
      </c>
      <c r="S19" s="989"/>
      <c r="T19" s="990">
        <f t="shared" si="8"/>
        <v>100</v>
      </c>
      <c r="U19" s="989"/>
      <c r="V19" s="990">
        <f t="shared" si="9"/>
        <v>100</v>
      </c>
      <c r="W19" s="989"/>
      <c r="X19" s="990">
        <f t="shared" si="10"/>
        <v>100</v>
      </c>
      <c r="Y19" s="989"/>
      <c r="Z19" s="990">
        <f t="shared" si="11"/>
        <v>100</v>
      </c>
      <c r="AA19" s="989"/>
      <c r="AB19" s="990">
        <f t="shared" si="12"/>
        <v>100</v>
      </c>
      <c r="AC19" s="989"/>
      <c r="AD19" s="990">
        <f t="shared" si="13"/>
        <v>100</v>
      </c>
      <c r="AE19" s="989"/>
      <c r="AF19" s="990">
        <f t="shared" si="14"/>
        <v>100</v>
      </c>
      <c r="AG19" s="989"/>
      <c r="AH19" s="990">
        <f t="shared" si="15"/>
        <v>100</v>
      </c>
      <c r="AI19" s="989"/>
      <c r="AJ19" s="990">
        <f t="shared" si="16"/>
        <v>100</v>
      </c>
      <c r="AK19" s="989"/>
      <c r="AL19" s="990">
        <f t="shared" si="17"/>
        <v>100</v>
      </c>
      <c r="AM19" s="989"/>
      <c r="AN19" s="990">
        <f t="shared" si="18"/>
        <v>100</v>
      </c>
      <c r="AP19" s="1018"/>
    </row>
    <row r="20" spans="1:42" s="981" customFormat="1" ht="17.25" thickBot="1">
      <c r="A20" s="985" t="s">
        <v>14</v>
      </c>
      <c r="B20" s="986" t="s">
        <v>2</v>
      </c>
      <c r="C20" s="987">
        <f>'OBRAS E SERVIÇOS'!M431</f>
        <v>1437902.75</v>
      </c>
      <c r="D20" s="988">
        <f t="shared" si="0"/>
        <v>0.12286283292136864</v>
      </c>
      <c r="E20" s="989"/>
      <c r="F20" s="990">
        <f t="shared" si="1"/>
        <v>0</v>
      </c>
      <c r="G20" s="989"/>
      <c r="H20" s="990">
        <f t="shared" si="2"/>
        <v>0</v>
      </c>
      <c r="I20" s="989"/>
      <c r="J20" s="990">
        <f t="shared" si="3"/>
        <v>0</v>
      </c>
      <c r="K20" s="989">
        <v>15</v>
      </c>
      <c r="L20" s="990">
        <f t="shared" si="4"/>
        <v>15</v>
      </c>
      <c r="M20" s="989">
        <v>15</v>
      </c>
      <c r="N20" s="990">
        <f t="shared" si="5"/>
        <v>30</v>
      </c>
      <c r="O20" s="989">
        <v>15</v>
      </c>
      <c r="P20" s="990">
        <f t="shared" si="6"/>
        <v>45</v>
      </c>
      <c r="Q20" s="989">
        <v>20</v>
      </c>
      <c r="R20" s="990">
        <f t="shared" si="7"/>
        <v>65</v>
      </c>
      <c r="S20" s="989">
        <v>12</v>
      </c>
      <c r="T20" s="990">
        <f t="shared" si="8"/>
        <v>77</v>
      </c>
      <c r="U20" s="989">
        <v>10</v>
      </c>
      <c r="V20" s="990">
        <f t="shared" si="9"/>
        <v>87</v>
      </c>
      <c r="W20" s="989">
        <v>8</v>
      </c>
      <c r="X20" s="990">
        <f t="shared" si="10"/>
        <v>95</v>
      </c>
      <c r="Y20" s="989">
        <v>5</v>
      </c>
      <c r="Z20" s="990">
        <f t="shared" si="11"/>
        <v>100</v>
      </c>
      <c r="AA20" s="989"/>
      <c r="AB20" s="990">
        <f t="shared" si="12"/>
        <v>100</v>
      </c>
      <c r="AC20" s="989"/>
      <c r="AD20" s="990">
        <f t="shared" si="13"/>
        <v>100</v>
      </c>
      <c r="AE20" s="989"/>
      <c r="AF20" s="990">
        <f t="shared" si="14"/>
        <v>100</v>
      </c>
      <c r="AG20" s="989"/>
      <c r="AH20" s="990">
        <f t="shared" si="15"/>
        <v>100</v>
      </c>
      <c r="AI20" s="989"/>
      <c r="AJ20" s="990">
        <f t="shared" si="16"/>
        <v>100</v>
      </c>
      <c r="AK20" s="989"/>
      <c r="AL20" s="990">
        <f t="shared" si="17"/>
        <v>100</v>
      </c>
      <c r="AM20" s="989"/>
      <c r="AN20" s="990">
        <f t="shared" si="18"/>
        <v>100</v>
      </c>
      <c r="AP20" s="1018"/>
    </row>
    <row r="21" spans="1:42" s="981" customFormat="1" ht="34.5" customHeight="1" thickBot="1">
      <c r="A21" s="985" t="s">
        <v>13</v>
      </c>
      <c r="B21" s="986" t="str">
        <f>'OBRAS E SERVIÇOS'!D433</f>
        <v>INSTALAÇÕES ELÉTRICAS (MÓDULO DE TRATAMENTO)</v>
      </c>
      <c r="C21" s="987">
        <f>'OBRAS E SERVIÇOS'!M450</f>
        <v>23949.119999999995</v>
      </c>
      <c r="D21" s="988">
        <f t="shared" si="0"/>
        <v>2.0463530855433774E-3</v>
      </c>
      <c r="E21" s="989"/>
      <c r="F21" s="990">
        <f t="shared" ref="F21" si="19">E21</f>
        <v>0</v>
      </c>
      <c r="G21" s="989"/>
      <c r="H21" s="990">
        <f t="shared" ref="H21" si="20">F21+G21</f>
        <v>0</v>
      </c>
      <c r="I21" s="989"/>
      <c r="J21" s="990">
        <f t="shared" ref="J21" si="21">H21+I21</f>
        <v>0</v>
      </c>
      <c r="K21" s="989">
        <v>15</v>
      </c>
      <c r="L21" s="990">
        <f t="shared" ref="L21" si="22">J21+K21</f>
        <v>15</v>
      </c>
      <c r="M21" s="989">
        <v>15</v>
      </c>
      <c r="N21" s="990">
        <f t="shared" ref="N21" si="23">L21+M21</f>
        <v>30</v>
      </c>
      <c r="O21" s="989">
        <v>15</v>
      </c>
      <c r="P21" s="990">
        <f t="shared" ref="P21" si="24">N21+O21</f>
        <v>45</v>
      </c>
      <c r="Q21" s="989">
        <v>20</v>
      </c>
      <c r="R21" s="990">
        <f t="shared" ref="R21" si="25">P21+Q21</f>
        <v>65</v>
      </c>
      <c r="S21" s="989">
        <v>12</v>
      </c>
      <c r="T21" s="990">
        <f t="shared" ref="T21" si="26">R21+S21</f>
        <v>77</v>
      </c>
      <c r="U21" s="989">
        <v>10</v>
      </c>
      <c r="V21" s="990">
        <f t="shared" ref="V21" si="27">T21+U21</f>
        <v>87</v>
      </c>
      <c r="W21" s="989">
        <v>8</v>
      </c>
      <c r="X21" s="990">
        <f t="shared" ref="X21" si="28">V21+W21</f>
        <v>95</v>
      </c>
      <c r="Y21" s="989">
        <v>5</v>
      </c>
      <c r="Z21" s="990">
        <f t="shared" ref="Z21" si="29">X21+Y21</f>
        <v>100</v>
      </c>
      <c r="AA21" s="989"/>
      <c r="AB21" s="990">
        <f t="shared" ref="AB21" si="30">Z21+AA21</f>
        <v>100</v>
      </c>
      <c r="AC21" s="989"/>
      <c r="AD21" s="990">
        <f t="shared" ref="AD21" si="31">AB21+AC21</f>
        <v>100</v>
      </c>
      <c r="AE21" s="989"/>
      <c r="AF21" s="990">
        <f t="shared" ref="AF21" si="32">AD21+AE21</f>
        <v>100</v>
      </c>
      <c r="AG21" s="989"/>
      <c r="AH21" s="990">
        <f t="shared" ref="AH21" si="33">AF21+AG21</f>
        <v>100</v>
      </c>
      <c r="AI21" s="989"/>
      <c r="AJ21" s="990">
        <f t="shared" ref="AJ21" si="34">AH21+AI21</f>
        <v>100</v>
      </c>
      <c r="AK21" s="989"/>
      <c r="AL21" s="990">
        <f t="shared" ref="AL21" si="35">AJ21+AK21</f>
        <v>100</v>
      </c>
      <c r="AM21" s="989"/>
      <c r="AN21" s="990">
        <f t="shared" ref="AN21" si="36">AL21+AM21</f>
        <v>100</v>
      </c>
      <c r="AP21" s="1018"/>
    </row>
    <row r="22" spans="1:42" s="981" customFormat="1" ht="17.25" thickBot="1">
      <c r="A22" s="985" t="s">
        <v>12</v>
      </c>
      <c r="B22" s="986" t="s">
        <v>1962</v>
      </c>
      <c r="C22" s="987">
        <f>'OBRAS E SERVIÇOS'!M541</f>
        <v>248448.06</v>
      </c>
      <c r="D22" s="988">
        <f t="shared" si="0"/>
        <v>2.1228857435190363E-2</v>
      </c>
      <c r="E22" s="989"/>
      <c r="F22" s="990">
        <f t="shared" si="1"/>
        <v>0</v>
      </c>
      <c r="G22" s="989"/>
      <c r="H22" s="990">
        <f t="shared" si="2"/>
        <v>0</v>
      </c>
      <c r="I22" s="989"/>
      <c r="J22" s="990">
        <f t="shared" si="3"/>
        <v>0</v>
      </c>
      <c r="K22" s="989"/>
      <c r="L22" s="990">
        <f t="shared" si="4"/>
        <v>0</v>
      </c>
      <c r="M22" s="989">
        <v>15</v>
      </c>
      <c r="N22" s="990">
        <f t="shared" si="5"/>
        <v>15</v>
      </c>
      <c r="O22" s="989">
        <v>20</v>
      </c>
      <c r="P22" s="990">
        <f t="shared" si="6"/>
        <v>35</v>
      </c>
      <c r="Q22" s="989">
        <v>15</v>
      </c>
      <c r="R22" s="990">
        <f t="shared" si="7"/>
        <v>50</v>
      </c>
      <c r="S22" s="989">
        <v>20</v>
      </c>
      <c r="T22" s="990">
        <f t="shared" si="8"/>
        <v>70</v>
      </c>
      <c r="U22" s="989">
        <v>10</v>
      </c>
      <c r="V22" s="990">
        <f t="shared" si="9"/>
        <v>80</v>
      </c>
      <c r="W22" s="989">
        <v>5</v>
      </c>
      <c r="X22" s="990">
        <f t="shared" si="10"/>
        <v>85</v>
      </c>
      <c r="Y22" s="989">
        <v>15</v>
      </c>
      <c r="Z22" s="990">
        <f t="shared" si="11"/>
        <v>100</v>
      </c>
      <c r="AA22" s="989"/>
      <c r="AB22" s="990">
        <f t="shared" si="12"/>
        <v>100</v>
      </c>
      <c r="AC22" s="989"/>
      <c r="AD22" s="990">
        <f t="shared" si="13"/>
        <v>100</v>
      </c>
      <c r="AE22" s="989"/>
      <c r="AF22" s="990">
        <f t="shared" si="14"/>
        <v>100</v>
      </c>
      <c r="AG22" s="989"/>
      <c r="AH22" s="990">
        <f t="shared" si="15"/>
        <v>100</v>
      </c>
      <c r="AI22" s="989"/>
      <c r="AJ22" s="990">
        <f t="shared" si="16"/>
        <v>100</v>
      </c>
      <c r="AK22" s="989"/>
      <c r="AL22" s="990">
        <f t="shared" si="17"/>
        <v>100</v>
      </c>
      <c r="AM22" s="989"/>
      <c r="AN22" s="990">
        <f t="shared" si="18"/>
        <v>100</v>
      </c>
      <c r="AP22" s="1018"/>
    </row>
    <row r="23" spans="1:42" s="981" customFormat="1" ht="26.25" thickBot="1">
      <c r="A23" s="985" t="s">
        <v>11</v>
      </c>
      <c r="B23" s="986" t="str">
        <f>'OBRAS E SERVIÇOS'!D543</f>
        <v xml:space="preserve">INSTALAÇÕES ELÉTRICAS (RESERVATÓRIO PULMÃO) </v>
      </c>
      <c r="C23" s="987">
        <f>'OBRAS E SERVIÇOS'!M556</f>
        <v>35406.400000000001</v>
      </c>
      <c r="D23" s="988">
        <f t="shared" si="0"/>
        <v>3.0253301953467623E-3</v>
      </c>
      <c r="E23" s="989"/>
      <c r="F23" s="990">
        <f t="shared" ref="F23" si="37">E23</f>
        <v>0</v>
      </c>
      <c r="G23" s="989"/>
      <c r="H23" s="990">
        <f t="shared" ref="H23" si="38">F23+G23</f>
        <v>0</v>
      </c>
      <c r="I23" s="989"/>
      <c r="J23" s="990">
        <f t="shared" ref="J23" si="39">H23+I23</f>
        <v>0</v>
      </c>
      <c r="K23" s="989"/>
      <c r="L23" s="990">
        <f t="shared" ref="L23" si="40">J23+K23</f>
        <v>0</v>
      </c>
      <c r="M23" s="989"/>
      <c r="N23" s="990">
        <f t="shared" ref="N23" si="41">L23+M23</f>
        <v>0</v>
      </c>
      <c r="O23" s="989"/>
      <c r="P23" s="990">
        <f t="shared" ref="P23" si="42">N23+O23</f>
        <v>0</v>
      </c>
      <c r="Q23" s="989"/>
      <c r="R23" s="990">
        <f t="shared" ref="R23" si="43">P23+Q23</f>
        <v>0</v>
      </c>
      <c r="S23" s="989"/>
      <c r="T23" s="990">
        <f t="shared" ref="T23" si="44">R23+S23</f>
        <v>0</v>
      </c>
      <c r="U23" s="989"/>
      <c r="V23" s="990">
        <f t="shared" ref="V23" si="45">T23+U23</f>
        <v>0</v>
      </c>
      <c r="W23" s="989"/>
      <c r="X23" s="990">
        <f t="shared" ref="X23" si="46">V23+W23</f>
        <v>0</v>
      </c>
      <c r="Y23" s="989"/>
      <c r="Z23" s="990">
        <f t="shared" ref="Z23" si="47">X23+Y23</f>
        <v>0</v>
      </c>
      <c r="AA23" s="989"/>
      <c r="AB23" s="990">
        <f t="shared" ref="AB23" si="48">Z23+AA23</f>
        <v>0</v>
      </c>
      <c r="AC23" s="989"/>
      <c r="AD23" s="990">
        <f t="shared" ref="AD23" si="49">AB23+AC23</f>
        <v>0</v>
      </c>
      <c r="AE23" s="989">
        <v>15</v>
      </c>
      <c r="AF23" s="990">
        <f t="shared" ref="AF23" si="50">AD23+AE23</f>
        <v>15</v>
      </c>
      <c r="AG23" s="989">
        <v>25</v>
      </c>
      <c r="AH23" s="990">
        <f t="shared" ref="AH23" si="51">AF23+AG23</f>
        <v>40</v>
      </c>
      <c r="AI23" s="989">
        <v>30</v>
      </c>
      <c r="AJ23" s="990">
        <f t="shared" ref="AJ23" si="52">AH23+AI23</f>
        <v>70</v>
      </c>
      <c r="AK23" s="989">
        <v>30</v>
      </c>
      <c r="AL23" s="990">
        <f t="shared" ref="AL23" si="53">AJ23+AK23</f>
        <v>100</v>
      </c>
      <c r="AM23" s="989"/>
      <c r="AN23" s="990">
        <f t="shared" ref="AN23" si="54">AL23+AM23</f>
        <v>100</v>
      </c>
      <c r="AP23" s="1018"/>
    </row>
    <row r="24" spans="1:42" s="981" customFormat="1" ht="36.75" customHeight="1" thickBot="1">
      <c r="A24" s="985" t="s">
        <v>10</v>
      </c>
      <c r="B24" s="986" t="s">
        <v>2490</v>
      </c>
      <c r="C24" s="987">
        <f>'OBRAS E SERVIÇOS'!M580</f>
        <v>5839.0400000000009</v>
      </c>
      <c r="D24" s="988">
        <f t="shared" si="0"/>
        <v>4.9892177752715783E-4</v>
      </c>
      <c r="E24" s="989"/>
      <c r="F24" s="990">
        <f t="shared" si="1"/>
        <v>0</v>
      </c>
      <c r="G24" s="989"/>
      <c r="H24" s="990">
        <f t="shared" si="2"/>
        <v>0</v>
      </c>
      <c r="I24" s="989"/>
      <c r="J24" s="990">
        <f t="shared" si="3"/>
        <v>0</v>
      </c>
      <c r="K24" s="989"/>
      <c r="L24" s="990">
        <f t="shared" si="4"/>
        <v>0</v>
      </c>
      <c r="M24" s="989"/>
      <c r="N24" s="990">
        <f t="shared" si="5"/>
        <v>0</v>
      </c>
      <c r="O24" s="989"/>
      <c r="P24" s="990">
        <f t="shared" si="6"/>
        <v>0</v>
      </c>
      <c r="Q24" s="989"/>
      <c r="R24" s="990">
        <f t="shared" si="7"/>
        <v>0</v>
      </c>
      <c r="S24" s="989"/>
      <c r="T24" s="990">
        <f t="shared" si="8"/>
        <v>0</v>
      </c>
      <c r="U24" s="989"/>
      <c r="V24" s="990">
        <f t="shared" si="9"/>
        <v>0</v>
      </c>
      <c r="W24" s="989"/>
      <c r="X24" s="990">
        <f t="shared" si="10"/>
        <v>0</v>
      </c>
      <c r="Y24" s="989"/>
      <c r="Z24" s="990">
        <f t="shared" si="11"/>
        <v>0</v>
      </c>
      <c r="AA24" s="989"/>
      <c r="AB24" s="990">
        <f t="shared" si="12"/>
        <v>0</v>
      </c>
      <c r="AC24" s="989"/>
      <c r="AD24" s="990">
        <f t="shared" si="13"/>
        <v>0</v>
      </c>
      <c r="AE24" s="989">
        <v>15</v>
      </c>
      <c r="AF24" s="990">
        <f t="shared" si="14"/>
        <v>15</v>
      </c>
      <c r="AG24" s="989">
        <v>25</v>
      </c>
      <c r="AH24" s="990">
        <f t="shared" si="15"/>
        <v>40</v>
      </c>
      <c r="AI24" s="989">
        <v>30</v>
      </c>
      <c r="AJ24" s="990">
        <f t="shared" si="16"/>
        <v>70</v>
      </c>
      <c r="AK24" s="989">
        <v>30</v>
      </c>
      <c r="AL24" s="990">
        <f t="shared" si="17"/>
        <v>100</v>
      </c>
      <c r="AM24" s="989"/>
      <c r="AN24" s="990">
        <f t="shared" si="18"/>
        <v>100</v>
      </c>
      <c r="AP24" s="1018"/>
    </row>
    <row r="25" spans="1:42" s="981" customFormat="1" ht="17.25" thickBot="1">
      <c r="A25" s="985" t="s">
        <v>2492</v>
      </c>
      <c r="B25" s="986" t="s">
        <v>2491</v>
      </c>
      <c r="C25" s="987">
        <f>'OBRAS E SERVIÇOS'!M723</f>
        <v>575199.74000000022</v>
      </c>
      <c r="D25" s="988">
        <f t="shared" si="0"/>
        <v>4.9148434796466391E-2</v>
      </c>
      <c r="E25" s="989"/>
      <c r="F25" s="990">
        <f t="shared" si="1"/>
        <v>0</v>
      </c>
      <c r="G25" s="989"/>
      <c r="H25" s="990">
        <f t="shared" si="2"/>
        <v>0</v>
      </c>
      <c r="I25" s="989"/>
      <c r="J25" s="990">
        <f t="shared" si="3"/>
        <v>0</v>
      </c>
      <c r="K25" s="989"/>
      <c r="L25" s="990">
        <f t="shared" si="4"/>
        <v>0</v>
      </c>
      <c r="M25" s="989"/>
      <c r="N25" s="990">
        <f t="shared" si="5"/>
        <v>0</v>
      </c>
      <c r="O25" s="989"/>
      <c r="P25" s="990">
        <f t="shared" si="6"/>
        <v>0</v>
      </c>
      <c r="Q25" s="989"/>
      <c r="R25" s="990">
        <f t="shared" si="7"/>
        <v>0</v>
      </c>
      <c r="S25" s="989"/>
      <c r="T25" s="990">
        <f t="shared" si="8"/>
        <v>0</v>
      </c>
      <c r="U25" s="989"/>
      <c r="V25" s="990">
        <f t="shared" si="9"/>
        <v>0</v>
      </c>
      <c r="W25" s="989">
        <v>25</v>
      </c>
      <c r="X25" s="990">
        <f t="shared" si="10"/>
        <v>25</v>
      </c>
      <c r="Y25" s="989">
        <v>20</v>
      </c>
      <c r="Z25" s="990">
        <f t="shared" si="11"/>
        <v>45</v>
      </c>
      <c r="AA25" s="989">
        <v>20</v>
      </c>
      <c r="AB25" s="990">
        <f t="shared" si="12"/>
        <v>65</v>
      </c>
      <c r="AC25" s="989">
        <v>30</v>
      </c>
      <c r="AD25" s="990">
        <f t="shared" si="13"/>
        <v>95</v>
      </c>
      <c r="AE25" s="989">
        <v>5</v>
      </c>
      <c r="AF25" s="990">
        <f t="shared" si="14"/>
        <v>100</v>
      </c>
      <c r="AG25" s="989"/>
      <c r="AH25" s="990">
        <f t="shared" si="15"/>
        <v>100</v>
      </c>
      <c r="AI25" s="989"/>
      <c r="AJ25" s="990">
        <f t="shared" si="16"/>
        <v>100</v>
      </c>
      <c r="AK25" s="989"/>
      <c r="AL25" s="990">
        <f t="shared" si="17"/>
        <v>100</v>
      </c>
      <c r="AM25" s="989"/>
      <c r="AN25" s="990">
        <f t="shared" si="18"/>
        <v>100</v>
      </c>
      <c r="AP25" s="1018"/>
    </row>
    <row r="26" spans="1:42" s="981" customFormat="1" ht="23.25" customHeight="1" thickBot="1">
      <c r="A26" s="985" t="s">
        <v>2494</v>
      </c>
      <c r="B26" s="986" t="str">
        <f>'OBRAS E SERVIÇOS'!D725</f>
        <v>INSTALAÇÕES ELÉTRICAS (CASA DE QUÍMICA E BACIAS DE CONTENÇÃO)</v>
      </c>
      <c r="C26" s="987">
        <f>'OBRAS E SERVIÇOS'!M762</f>
        <v>39055.770000000004</v>
      </c>
      <c r="D26" s="988">
        <f t="shared" si="0"/>
        <v>3.3371537429255226E-3</v>
      </c>
      <c r="E26" s="989"/>
      <c r="F26" s="990">
        <f t="shared" ref="F26" si="55">E26</f>
        <v>0</v>
      </c>
      <c r="G26" s="989"/>
      <c r="H26" s="990">
        <f t="shared" ref="H26" si="56">F26+G26</f>
        <v>0</v>
      </c>
      <c r="I26" s="989"/>
      <c r="J26" s="990">
        <f t="shared" ref="J26" si="57">H26+I26</f>
        <v>0</v>
      </c>
      <c r="K26" s="989"/>
      <c r="L26" s="990">
        <f t="shared" ref="L26" si="58">J26+K26</f>
        <v>0</v>
      </c>
      <c r="M26" s="989"/>
      <c r="N26" s="990">
        <f t="shared" ref="N26" si="59">L26+M26</f>
        <v>0</v>
      </c>
      <c r="O26" s="989"/>
      <c r="P26" s="990">
        <f t="shared" ref="P26" si="60">N26+O26</f>
        <v>0</v>
      </c>
      <c r="Q26" s="989"/>
      <c r="R26" s="990">
        <f t="shared" ref="R26" si="61">P26+Q26</f>
        <v>0</v>
      </c>
      <c r="S26" s="989"/>
      <c r="T26" s="990">
        <f t="shared" ref="T26" si="62">R26+S26</f>
        <v>0</v>
      </c>
      <c r="U26" s="989"/>
      <c r="V26" s="990">
        <f t="shared" ref="V26" si="63">T26+U26</f>
        <v>0</v>
      </c>
      <c r="W26" s="989">
        <v>25</v>
      </c>
      <c r="X26" s="990">
        <f t="shared" ref="X26" si="64">V26+W26</f>
        <v>25</v>
      </c>
      <c r="Y26" s="989">
        <v>20</v>
      </c>
      <c r="Z26" s="990">
        <f t="shared" ref="Z26" si="65">X26+Y26</f>
        <v>45</v>
      </c>
      <c r="AA26" s="989">
        <v>20</v>
      </c>
      <c r="AB26" s="990">
        <f t="shared" ref="AB26" si="66">Z26+AA26</f>
        <v>65</v>
      </c>
      <c r="AC26" s="989">
        <v>30</v>
      </c>
      <c r="AD26" s="990">
        <f t="shared" ref="AD26" si="67">AB26+AC26</f>
        <v>95</v>
      </c>
      <c r="AE26" s="989">
        <v>5</v>
      </c>
      <c r="AF26" s="990">
        <f t="shared" ref="AF26" si="68">AD26+AE26</f>
        <v>100</v>
      </c>
      <c r="AG26" s="989"/>
      <c r="AH26" s="990">
        <f t="shared" ref="AH26" si="69">AF26+AG26</f>
        <v>100</v>
      </c>
      <c r="AI26" s="989"/>
      <c r="AJ26" s="990">
        <f t="shared" ref="AJ26" si="70">AH26+AI26</f>
        <v>100</v>
      </c>
      <c r="AK26" s="989"/>
      <c r="AL26" s="990">
        <f t="shared" ref="AL26" si="71">AJ26+AK26</f>
        <v>100</v>
      </c>
      <c r="AM26" s="989"/>
      <c r="AN26" s="990">
        <f t="shared" ref="AN26" si="72">AL26+AM26</f>
        <v>100</v>
      </c>
      <c r="AP26" s="1018"/>
    </row>
    <row r="27" spans="1:42" s="981" customFormat="1" ht="17.25" thickBot="1">
      <c r="A27" s="985" t="s">
        <v>2496</v>
      </c>
      <c r="B27" s="986" t="s">
        <v>1966</v>
      </c>
      <c r="C27" s="987">
        <f>'OBRAS E SERVIÇOS'!M877</f>
        <v>328053.47000000003</v>
      </c>
      <c r="D27" s="988">
        <f t="shared" si="0"/>
        <v>2.8030809923609384E-2</v>
      </c>
      <c r="E27" s="989"/>
      <c r="F27" s="990">
        <f t="shared" si="1"/>
        <v>0</v>
      </c>
      <c r="G27" s="989"/>
      <c r="H27" s="990">
        <f t="shared" si="2"/>
        <v>0</v>
      </c>
      <c r="I27" s="989"/>
      <c r="J27" s="990">
        <f t="shared" si="3"/>
        <v>0</v>
      </c>
      <c r="K27" s="989"/>
      <c r="L27" s="990">
        <f t="shared" si="4"/>
        <v>0</v>
      </c>
      <c r="M27" s="989"/>
      <c r="N27" s="990">
        <f t="shared" si="5"/>
        <v>0</v>
      </c>
      <c r="O27" s="989"/>
      <c r="P27" s="990">
        <f t="shared" si="6"/>
        <v>0</v>
      </c>
      <c r="Q27" s="989"/>
      <c r="R27" s="990">
        <f t="shared" si="7"/>
        <v>0</v>
      </c>
      <c r="S27" s="989"/>
      <c r="T27" s="990">
        <f t="shared" si="8"/>
        <v>0</v>
      </c>
      <c r="U27" s="989"/>
      <c r="V27" s="990">
        <f t="shared" si="9"/>
        <v>0</v>
      </c>
      <c r="W27" s="989">
        <v>25</v>
      </c>
      <c r="X27" s="990">
        <f t="shared" si="10"/>
        <v>25</v>
      </c>
      <c r="Y27" s="989">
        <v>20</v>
      </c>
      <c r="Z27" s="990">
        <f t="shared" si="11"/>
        <v>45</v>
      </c>
      <c r="AA27" s="989">
        <v>20</v>
      </c>
      <c r="AB27" s="990">
        <f t="shared" si="12"/>
        <v>65</v>
      </c>
      <c r="AC27" s="989">
        <v>30</v>
      </c>
      <c r="AD27" s="990">
        <f t="shared" si="13"/>
        <v>95</v>
      </c>
      <c r="AE27" s="989">
        <v>5</v>
      </c>
      <c r="AF27" s="990">
        <f t="shared" si="14"/>
        <v>100</v>
      </c>
      <c r="AG27" s="989"/>
      <c r="AH27" s="990">
        <f t="shared" si="15"/>
        <v>100</v>
      </c>
      <c r="AI27" s="989"/>
      <c r="AJ27" s="990">
        <f t="shared" si="16"/>
        <v>100</v>
      </c>
      <c r="AK27" s="989"/>
      <c r="AL27" s="990">
        <f t="shared" si="17"/>
        <v>100</v>
      </c>
      <c r="AM27" s="989"/>
      <c r="AN27" s="990">
        <f t="shared" si="18"/>
        <v>100</v>
      </c>
      <c r="AP27" s="1018"/>
    </row>
    <row r="28" spans="1:42" s="981" customFormat="1" ht="26.25" thickBot="1">
      <c r="A28" s="985" t="s">
        <v>2498</v>
      </c>
      <c r="B28" s="986" t="str">
        <f>'OBRAS E SERVIÇOS'!D879</f>
        <v xml:space="preserve">ESTAÇÃO ELEVATÓRIA PARA ÁGUA DE RECIRCULAÇÃO DE EJETORES </v>
      </c>
      <c r="C28" s="987">
        <f>'OBRAS E SERVIÇOS'!M900</f>
        <v>2685.08</v>
      </c>
      <c r="D28" s="988">
        <f t="shared" si="0"/>
        <v>2.29428962021603E-4</v>
      </c>
      <c r="E28" s="989"/>
      <c r="F28" s="990">
        <f t="shared" ref="F28:F29" si="73">E28</f>
        <v>0</v>
      </c>
      <c r="G28" s="989"/>
      <c r="H28" s="990">
        <f t="shared" ref="H28:H29" si="74">F28+G28</f>
        <v>0</v>
      </c>
      <c r="I28" s="989"/>
      <c r="J28" s="990">
        <f t="shared" ref="J28:J29" si="75">H28+I28</f>
        <v>0</v>
      </c>
      <c r="K28" s="989"/>
      <c r="L28" s="990">
        <f t="shared" ref="L28:L29" si="76">J28+K28</f>
        <v>0</v>
      </c>
      <c r="M28" s="989"/>
      <c r="N28" s="990">
        <f t="shared" ref="N28:N29" si="77">L28+M28</f>
        <v>0</v>
      </c>
      <c r="O28" s="989"/>
      <c r="P28" s="990">
        <f t="shared" ref="P28:P29" si="78">N28+O28</f>
        <v>0</v>
      </c>
      <c r="Q28" s="989"/>
      <c r="R28" s="990">
        <f t="shared" ref="R28:R29" si="79">P28+Q28</f>
        <v>0</v>
      </c>
      <c r="S28" s="989"/>
      <c r="T28" s="990">
        <f t="shared" ref="T28:T29" si="80">R28+S28</f>
        <v>0</v>
      </c>
      <c r="U28" s="989"/>
      <c r="V28" s="990">
        <f t="shared" ref="V28:V29" si="81">T28+U28</f>
        <v>0</v>
      </c>
      <c r="W28" s="989">
        <v>25</v>
      </c>
      <c r="X28" s="990">
        <f t="shared" ref="X28:X29" si="82">V28+W28</f>
        <v>25</v>
      </c>
      <c r="Y28" s="989">
        <v>20</v>
      </c>
      <c r="Z28" s="990">
        <f t="shared" ref="Z28:Z29" si="83">X28+Y28</f>
        <v>45</v>
      </c>
      <c r="AA28" s="989">
        <v>20</v>
      </c>
      <c r="AB28" s="990">
        <f t="shared" ref="AB28:AB29" si="84">Z28+AA28</f>
        <v>65</v>
      </c>
      <c r="AC28" s="989">
        <v>30</v>
      </c>
      <c r="AD28" s="990">
        <f t="shared" ref="AD28:AD29" si="85">AB28+AC28</f>
        <v>95</v>
      </c>
      <c r="AE28" s="989">
        <v>5</v>
      </c>
      <c r="AF28" s="990">
        <f t="shared" ref="AF28:AF29" si="86">AD28+AE28</f>
        <v>100</v>
      </c>
      <c r="AG28" s="989"/>
      <c r="AH28" s="990">
        <f t="shared" ref="AH28:AH29" si="87">AF28+AG28</f>
        <v>100</v>
      </c>
      <c r="AI28" s="989"/>
      <c r="AJ28" s="990">
        <f t="shared" ref="AJ28:AJ29" si="88">AH28+AI28</f>
        <v>100</v>
      </c>
      <c r="AK28" s="989"/>
      <c r="AL28" s="990">
        <f t="shared" ref="AL28:AL29" si="89">AJ28+AK28</f>
        <v>100</v>
      </c>
      <c r="AM28" s="989"/>
      <c r="AN28" s="990">
        <f t="shared" ref="AN28:AN29" si="90">AL28+AM28</f>
        <v>100</v>
      </c>
      <c r="AP28" s="1018"/>
    </row>
    <row r="29" spans="1:42" s="981" customFormat="1" ht="27" customHeight="1" thickBot="1">
      <c r="A29" s="985" t="s">
        <v>2500</v>
      </c>
      <c r="B29" s="986" t="str">
        <f>'OBRAS E SERVIÇOS'!D902</f>
        <v>INSTALAÇÕES ELÉTRICAS (DESINFECÇÃO POR GÁS CLORO)</v>
      </c>
      <c r="C29" s="987">
        <f>'OBRAS E SERVIÇOS'!M938</f>
        <v>15988.21</v>
      </c>
      <c r="D29" s="988">
        <f t="shared" si="0"/>
        <v>1.3661263071802006E-3</v>
      </c>
      <c r="E29" s="989"/>
      <c r="F29" s="990">
        <f t="shared" si="73"/>
        <v>0</v>
      </c>
      <c r="G29" s="989"/>
      <c r="H29" s="990">
        <f t="shared" si="74"/>
        <v>0</v>
      </c>
      <c r="I29" s="989"/>
      <c r="J29" s="990">
        <f t="shared" si="75"/>
        <v>0</v>
      </c>
      <c r="K29" s="989"/>
      <c r="L29" s="990">
        <f t="shared" si="76"/>
        <v>0</v>
      </c>
      <c r="M29" s="989"/>
      <c r="N29" s="990">
        <f t="shared" si="77"/>
        <v>0</v>
      </c>
      <c r="O29" s="989"/>
      <c r="P29" s="990">
        <f t="shared" si="78"/>
        <v>0</v>
      </c>
      <c r="Q29" s="989"/>
      <c r="R29" s="990">
        <f t="shared" si="79"/>
        <v>0</v>
      </c>
      <c r="S29" s="989"/>
      <c r="T29" s="990">
        <f t="shared" si="80"/>
        <v>0</v>
      </c>
      <c r="U29" s="989">
        <v>20</v>
      </c>
      <c r="V29" s="990">
        <f t="shared" si="81"/>
        <v>20</v>
      </c>
      <c r="W29" s="989">
        <v>15</v>
      </c>
      <c r="X29" s="990">
        <f t="shared" si="82"/>
        <v>35</v>
      </c>
      <c r="Y29" s="989">
        <v>20</v>
      </c>
      <c r="Z29" s="990">
        <f t="shared" si="83"/>
        <v>55</v>
      </c>
      <c r="AA29" s="989">
        <v>20</v>
      </c>
      <c r="AB29" s="990">
        <f t="shared" si="84"/>
        <v>75</v>
      </c>
      <c r="AC29" s="989">
        <v>20</v>
      </c>
      <c r="AD29" s="990">
        <f t="shared" si="85"/>
        <v>95</v>
      </c>
      <c r="AE29" s="989">
        <v>5</v>
      </c>
      <c r="AF29" s="990">
        <f t="shared" si="86"/>
        <v>100</v>
      </c>
      <c r="AG29" s="989"/>
      <c r="AH29" s="990">
        <f t="shared" si="87"/>
        <v>100</v>
      </c>
      <c r="AI29" s="989"/>
      <c r="AJ29" s="990">
        <f t="shared" si="88"/>
        <v>100</v>
      </c>
      <c r="AK29" s="989"/>
      <c r="AL29" s="990">
        <f t="shared" si="89"/>
        <v>100</v>
      </c>
      <c r="AM29" s="989"/>
      <c r="AN29" s="990">
        <f t="shared" si="90"/>
        <v>100</v>
      </c>
      <c r="AP29" s="1018"/>
    </row>
    <row r="30" spans="1:42" s="981" customFormat="1" ht="31.5" customHeight="1" thickBot="1">
      <c r="A30" s="985" t="s">
        <v>2501</v>
      </c>
      <c r="B30" s="986" t="s">
        <v>2493</v>
      </c>
      <c r="C30" s="987">
        <f>'OBRAS E SERVIÇOS'!M985</f>
        <v>7952.43</v>
      </c>
      <c r="D30" s="988">
        <f t="shared" si="0"/>
        <v>6.7950219749484428E-4</v>
      </c>
      <c r="E30" s="989"/>
      <c r="F30" s="990">
        <f t="shared" si="1"/>
        <v>0</v>
      </c>
      <c r="G30" s="989"/>
      <c r="H30" s="990">
        <f t="shared" si="2"/>
        <v>0</v>
      </c>
      <c r="I30" s="989"/>
      <c r="J30" s="990">
        <f t="shared" si="3"/>
        <v>0</v>
      </c>
      <c r="K30" s="989"/>
      <c r="L30" s="990">
        <f t="shared" si="4"/>
        <v>0</v>
      </c>
      <c r="M30" s="989"/>
      <c r="N30" s="990">
        <f t="shared" si="5"/>
        <v>0</v>
      </c>
      <c r="O30" s="989"/>
      <c r="P30" s="990">
        <f t="shared" si="6"/>
        <v>0</v>
      </c>
      <c r="Q30" s="989"/>
      <c r="R30" s="990">
        <f t="shared" si="7"/>
        <v>0</v>
      </c>
      <c r="S30" s="989"/>
      <c r="T30" s="990">
        <f t="shared" si="8"/>
        <v>0</v>
      </c>
      <c r="U30" s="989"/>
      <c r="V30" s="990">
        <f t="shared" si="9"/>
        <v>0</v>
      </c>
      <c r="W30" s="989"/>
      <c r="X30" s="990">
        <f t="shared" si="10"/>
        <v>0</v>
      </c>
      <c r="Y30" s="989"/>
      <c r="Z30" s="990">
        <f t="shared" si="11"/>
        <v>0</v>
      </c>
      <c r="AA30" s="989">
        <v>15</v>
      </c>
      <c r="AB30" s="990">
        <f t="shared" si="12"/>
        <v>15</v>
      </c>
      <c r="AC30" s="989">
        <v>25</v>
      </c>
      <c r="AD30" s="990">
        <f t="shared" si="13"/>
        <v>40</v>
      </c>
      <c r="AE30" s="989">
        <v>55</v>
      </c>
      <c r="AF30" s="990">
        <f t="shared" si="14"/>
        <v>95</v>
      </c>
      <c r="AG30" s="989">
        <v>5</v>
      </c>
      <c r="AH30" s="990">
        <f t="shared" si="15"/>
        <v>100</v>
      </c>
      <c r="AI30" s="989"/>
      <c r="AJ30" s="990">
        <f t="shared" si="16"/>
        <v>100</v>
      </c>
      <c r="AK30" s="989"/>
      <c r="AL30" s="990">
        <f t="shared" si="17"/>
        <v>100</v>
      </c>
      <c r="AM30" s="989"/>
      <c r="AN30" s="990">
        <f t="shared" si="18"/>
        <v>100</v>
      </c>
      <c r="AP30" s="1018"/>
    </row>
    <row r="31" spans="1:42" s="981" customFormat="1" ht="42" customHeight="1" thickBot="1">
      <c r="A31" s="985" t="s">
        <v>2503</v>
      </c>
      <c r="B31" s="986" t="str">
        <f>'OBRAS E SERVIÇOS'!D987</f>
        <v xml:space="preserve">INSTALAÇÕES ELÉTRICAS (RESERVATÓRIO ELEVADO DE ÁGUA DE PROCESSOS 50M³) </v>
      </c>
      <c r="C31" s="987">
        <f>'OBRAS E SERVIÇOS'!M1003</f>
        <v>7024.61</v>
      </c>
      <c r="D31" s="988">
        <f t="shared" si="0"/>
        <v>6.0022382234666103E-4</v>
      </c>
      <c r="E31" s="989"/>
      <c r="F31" s="990">
        <f t="shared" ref="F31" si="91">E31</f>
        <v>0</v>
      </c>
      <c r="G31" s="989"/>
      <c r="H31" s="990">
        <f t="shared" ref="H31" si="92">F31+G31</f>
        <v>0</v>
      </c>
      <c r="I31" s="989"/>
      <c r="J31" s="990">
        <f t="shared" ref="J31" si="93">H31+I31</f>
        <v>0</v>
      </c>
      <c r="K31" s="989"/>
      <c r="L31" s="990">
        <f t="shared" ref="L31" si="94">J31+K31</f>
        <v>0</v>
      </c>
      <c r="M31" s="989"/>
      <c r="N31" s="990">
        <f t="shared" ref="N31" si="95">L31+M31</f>
        <v>0</v>
      </c>
      <c r="O31" s="989"/>
      <c r="P31" s="990">
        <f t="shared" ref="P31" si="96">N31+O31</f>
        <v>0</v>
      </c>
      <c r="Q31" s="989"/>
      <c r="R31" s="990">
        <f t="shared" ref="R31" si="97">P31+Q31</f>
        <v>0</v>
      </c>
      <c r="S31" s="989"/>
      <c r="T31" s="990">
        <f t="shared" ref="T31" si="98">R31+S31</f>
        <v>0</v>
      </c>
      <c r="U31" s="989"/>
      <c r="V31" s="990">
        <f t="shared" ref="V31" si="99">T31+U31</f>
        <v>0</v>
      </c>
      <c r="W31" s="989"/>
      <c r="X31" s="990">
        <f t="shared" ref="X31" si="100">V31+W31</f>
        <v>0</v>
      </c>
      <c r="Y31" s="989"/>
      <c r="Z31" s="990">
        <f t="shared" ref="Z31" si="101">X31+Y31</f>
        <v>0</v>
      </c>
      <c r="AA31" s="989">
        <v>15</v>
      </c>
      <c r="AB31" s="990">
        <f t="shared" ref="AB31" si="102">Z31+AA31</f>
        <v>15</v>
      </c>
      <c r="AC31" s="989">
        <v>25</v>
      </c>
      <c r="AD31" s="990">
        <f t="shared" ref="AD31" si="103">AB31+AC31</f>
        <v>40</v>
      </c>
      <c r="AE31" s="989">
        <v>55</v>
      </c>
      <c r="AF31" s="990">
        <f t="shared" ref="AF31" si="104">AD31+AE31</f>
        <v>95</v>
      </c>
      <c r="AG31" s="989">
        <v>5</v>
      </c>
      <c r="AH31" s="990">
        <f t="shared" ref="AH31" si="105">AF31+AG31</f>
        <v>100</v>
      </c>
      <c r="AI31" s="989"/>
      <c r="AJ31" s="990">
        <f t="shared" ref="AJ31" si="106">AH31+AI31</f>
        <v>100</v>
      </c>
      <c r="AK31" s="989"/>
      <c r="AL31" s="990">
        <f t="shared" ref="AL31" si="107">AJ31+AK31</f>
        <v>100</v>
      </c>
      <c r="AM31" s="989"/>
      <c r="AN31" s="990">
        <f t="shared" ref="AN31" si="108">AL31+AM31</f>
        <v>100</v>
      </c>
      <c r="AP31" s="1018"/>
    </row>
    <row r="32" spans="1:42" s="981" customFormat="1" ht="17.25" thickBot="1">
      <c r="A32" s="985" t="s">
        <v>2505</v>
      </c>
      <c r="B32" s="986" t="s">
        <v>2495</v>
      </c>
      <c r="C32" s="987">
        <f>'OBRAS E SERVIÇOS'!M1056</f>
        <v>46340.740000000005</v>
      </c>
      <c r="D32" s="988">
        <f t="shared" si="0"/>
        <v>3.9596242486305737E-3</v>
      </c>
      <c r="E32" s="989"/>
      <c r="F32" s="990">
        <f t="shared" si="1"/>
        <v>0</v>
      </c>
      <c r="G32" s="989"/>
      <c r="H32" s="990">
        <f t="shared" si="2"/>
        <v>0</v>
      </c>
      <c r="I32" s="989"/>
      <c r="J32" s="990">
        <f t="shared" si="3"/>
        <v>0</v>
      </c>
      <c r="K32" s="989"/>
      <c r="L32" s="990">
        <f t="shared" si="4"/>
        <v>0</v>
      </c>
      <c r="M32" s="989"/>
      <c r="N32" s="990">
        <f t="shared" si="5"/>
        <v>0</v>
      </c>
      <c r="O32" s="989"/>
      <c r="P32" s="990">
        <f t="shared" si="6"/>
        <v>0</v>
      </c>
      <c r="Q32" s="989"/>
      <c r="R32" s="990">
        <f t="shared" si="7"/>
        <v>0</v>
      </c>
      <c r="S32" s="989"/>
      <c r="T32" s="990">
        <f t="shared" si="8"/>
        <v>0</v>
      </c>
      <c r="U32" s="989"/>
      <c r="V32" s="990">
        <f t="shared" si="9"/>
        <v>0</v>
      </c>
      <c r="W32" s="989"/>
      <c r="X32" s="990">
        <f t="shared" si="10"/>
        <v>0</v>
      </c>
      <c r="Y32" s="989">
        <v>15</v>
      </c>
      <c r="Z32" s="990">
        <f t="shared" si="11"/>
        <v>15</v>
      </c>
      <c r="AA32" s="989">
        <v>20</v>
      </c>
      <c r="AB32" s="990">
        <f t="shared" si="12"/>
        <v>35</v>
      </c>
      <c r="AC32" s="989">
        <v>25</v>
      </c>
      <c r="AD32" s="990">
        <f t="shared" si="13"/>
        <v>60</v>
      </c>
      <c r="AE32" s="989">
        <v>40</v>
      </c>
      <c r="AF32" s="990">
        <f t="shared" si="14"/>
        <v>100</v>
      </c>
      <c r="AG32" s="989"/>
      <c r="AH32" s="990">
        <f t="shared" si="15"/>
        <v>100</v>
      </c>
      <c r="AI32" s="989"/>
      <c r="AJ32" s="990">
        <f t="shared" si="16"/>
        <v>100</v>
      </c>
      <c r="AK32" s="989"/>
      <c r="AL32" s="990">
        <f t="shared" si="17"/>
        <v>100</v>
      </c>
      <c r="AM32" s="989"/>
      <c r="AN32" s="990">
        <f t="shared" si="18"/>
        <v>100</v>
      </c>
      <c r="AP32" s="1018"/>
    </row>
    <row r="33" spans="1:42" s="981" customFormat="1" ht="17.25" thickBot="1">
      <c r="A33" s="985" t="s">
        <v>2506</v>
      </c>
      <c r="B33" s="986" t="s">
        <v>2497</v>
      </c>
      <c r="C33" s="987">
        <f>'OBRAS E SERVIÇOS'!M1135</f>
        <v>1186748.6500000001</v>
      </c>
      <c r="D33" s="988">
        <f t="shared" si="0"/>
        <v>0.10140275557899156</v>
      </c>
      <c r="E33" s="989"/>
      <c r="F33" s="990">
        <f t="shared" si="1"/>
        <v>0</v>
      </c>
      <c r="G33" s="989"/>
      <c r="H33" s="990">
        <f t="shared" si="2"/>
        <v>0</v>
      </c>
      <c r="I33" s="989"/>
      <c r="J33" s="990">
        <f t="shared" si="3"/>
        <v>0</v>
      </c>
      <c r="K33" s="989"/>
      <c r="L33" s="990">
        <f t="shared" si="4"/>
        <v>0</v>
      </c>
      <c r="M33" s="989"/>
      <c r="N33" s="990">
        <f t="shared" si="5"/>
        <v>0</v>
      </c>
      <c r="O33" s="989"/>
      <c r="P33" s="990">
        <f t="shared" si="6"/>
        <v>0</v>
      </c>
      <c r="Q33" s="989"/>
      <c r="R33" s="990">
        <f t="shared" si="7"/>
        <v>0</v>
      </c>
      <c r="S33" s="989"/>
      <c r="T33" s="990">
        <f t="shared" si="8"/>
        <v>0</v>
      </c>
      <c r="U33" s="989">
        <v>10</v>
      </c>
      <c r="V33" s="990">
        <f t="shared" si="9"/>
        <v>10</v>
      </c>
      <c r="W33" s="989">
        <v>25</v>
      </c>
      <c r="X33" s="990">
        <f t="shared" si="10"/>
        <v>35</v>
      </c>
      <c r="Y33" s="989">
        <v>15</v>
      </c>
      <c r="Z33" s="990">
        <f t="shared" si="11"/>
        <v>50</v>
      </c>
      <c r="AA33" s="989">
        <v>20</v>
      </c>
      <c r="AB33" s="990">
        <f t="shared" si="12"/>
        <v>70</v>
      </c>
      <c r="AC33" s="989">
        <v>15</v>
      </c>
      <c r="AD33" s="990">
        <f t="shared" si="13"/>
        <v>85</v>
      </c>
      <c r="AE33" s="989">
        <v>15</v>
      </c>
      <c r="AF33" s="990">
        <f t="shared" si="14"/>
        <v>100</v>
      </c>
      <c r="AG33" s="989"/>
      <c r="AH33" s="990">
        <f t="shared" si="15"/>
        <v>100</v>
      </c>
      <c r="AI33" s="989"/>
      <c r="AJ33" s="990">
        <f t="shared" si="16"/>
        <v>100</v>
      </c>
      <c r="AK33" s="989"/>
      <c r="AL33" s="990">
        <f t="shared" si="17"/>
        <v>100</v>
      </c>
      <c r="AM33" s="989"/>
      <c r="AN33" s="990">
        <f t="shared" si="18"/>
        <v>100</v>
      </c>
      <c r="AP33" s="1018"/>
    </row>
    <row r="34" spans="1:42" s="981" customFormat="1" ht="17.25" thickBot="1">
      <c r="A34" s="985" t="s">
        <v>2508</v>
      </c>
      <c r="B34" s="986" t="s">
        <v>2499</v>
      </c>
      <c r="C34" s="987">
        <f>'OBRAS E SERVIÇOS'!M1199</f>
        <v>64167.689999999995</v>
      </c>
      <c r="D34" s="988">
        <f t="shared" si="0"/>
        <v>5.4828632711219011E-3</v>
      </c>
      <c r="E34" s="989"/>
      <c r="F34" s="990">
        <f t="shared" si="1"/>
        <v>0</v>
      </c>
      <c r="G34" s="989"/>
      <c r="H34" s="990">
        <f t="shared" si="2"/>
        <v>0</v>
      </c>
      <c r="I34" s="989"/>
      <c r="J34" s="990">
        <f t="shared" si="3"/>
        <v>0</v>
      </c>
      <c r="K34" s="989"/>
      <c r="L34" s="990">
        <f t="shared" si="4"/>
        <v>0</v>
      </c>
      <c r="M34" s="989"/>
      <c r="N34" s="990">
        <f t="shared" si="5"/>
        <v>0</v>
      </c>
      <c r="O34" s="989"/>
      <c r="P34" s="990">
        <f t="shared" si="6"/>
        <v>0</v>
      </c>
      <c r="Q34" s="989"/>
      <c r="R34" s="990">
        <f t="shared" si="7"/>
        <v>0</v>
      </c>
      <c r="S34" s="989"/>
      <c r="T34" s="990">
        <f t="shared" si="8"/>
        <v>0</v>
      </c>
      <c r="U34" s="989"/>
      <c r="V34" s="990">
        <f t="shared" si="9"/>
        <v>0</v>
      </c>
      <c r="W34" s="989"/>
      <c r="X34" s="990">
        <f t="shared" si="10"/>
        <v>0</v>
      </c>
      <c r="Y34" s="989"/>
      <c r="Z34" s="990">
        <f t="shared" si="11"/>
        <v>0</v>
      </c>
      <c r="AA34" s="989">
        <v>55</v>
      </c>
      <c r="AB34" s="990">
        <f t="shared" si="12"/>
        <v>55</v>
      </c>
      <c r="AC34" s="989">
        <v>20</v>
      </c>
      <c r="AD34" s="990">
        <f t="shared" si="13"/>
        <v>75</v>
      </c>
      <c r="AE34" s="989">
        <v>25</v>
      </c>
      <c r="AF34" s="990">
        <f t="shared" si="14"/>
        <v>100</v>
      </c>
      <c r="AG34" s="989"/>
      <c r="AH34" s="990">
        <f t="shared" si="15"/>
        <v>100</v>
      </c>
      <c r="AI34" s="989"/>
      <c r="AJ34" s="990">
        <f t="shared" si="16"/>
        <v>100</v>
      </c>
      <c r="AK34" s="989"/>
      <c r="AL34" s="990">
        <f t="shared" si="17"/>
        <v>100</v>
      </c>
      <c r="AM34" s="989"/>
      <c r="AN34" s="990">
        <f t="shared" si="18"/>
        <v>100</v>
      </c>
      <c r="AP34" s="1018"/>
    </row>
    <row r="35" spans="1:42" s="981" customFormat="1" ht="30.75" customHeight="1" thickBot="1">
      <c r="A35" s="985" t="s">
        <v>2510</v>
      </c>
      <c r="B35" s="986" t="str">
        <f>'OBRAS E SERVIÇOS'!D1201</f>
        <v>INSTALAÇÕES ELÉTRICAS - EE DE RECIRCULAÇÃO (ESTAÇÃO ELEVATÓRIA DE RECIRCULAÇÃO)</v>
      </c>
      <c r="C35" s="987">
        <f>'OBRAS E SERVIÇOS'!M1230</f>
        <v>56985.950000000004</v>
      </c>
      <c r="D35" s="988">
        <f t="shared" si="0"/>
        <v>4.8692133412468041E-3</v>
      </c>
      <c r="E35" s="989"/>
      <c r="F35" s="990">
        <f t="shared" ref="F35" si="109">E35</f>
        <v>0</v>
      </c>
      <c r="G35" s="989"/>
      <c r="H35" s="990">
        <f t="shared" ref="H35" si="110">F35+G35</f>
        <v>0</v>
      </c>
      <c r="I35" s="989"/>
      <c r="J35" s="990">
        <f t="shared" ref="J35" si="111">H35+I35</f>
        <v>0</v>
      </c>
      <c r="K35" s="989"/>
      <c r="L35" s="990">
        <f t="shared" ref="L35" si="112">J35+K35</f>
        <v>0</v>
      </c>
      <c r="M35" s="989"/>
      <c r="N35" s="990">
        <f t="shared" ref="N35" si="113">L35+M35</f>
        <v>0</v>
      </c>
      <c r="O35" s="989"/>
      <c r="P35" s="990">
        <f t="shared" ref="P35" si="114">N35+O35</f>
        <v>0</v>
      </c>
      <c r="Q35" s="989"/>
      <c r="R35" s="990">
        <f t="shared" ref="R35" si="115">P35+Q35</f>
        <v>0</v>
      </c>
      <c r="S35" s="989"/>
      <c r="T35" s="990">
        <f t="shared" ref="T35" si="116">R35+S35</f>
        <v>0</v>
      </c>
      <c r="U35" s="989"/>
      <c r="V35" s="990">
        <f t="shared" ref="V35" si="117">T35+U35</f>
        <v>0</v>
      </c>
      <c r="W35" s="989"/>
      <c r="X35" s="990">
        <f t="shared" ref="X35" si="118">V35+W35</f>
        <v>0</v>
      </c>
      <c r="Y35" s="989"/>
      <c r="Z35" s="990">
        <f t="shared" ref="Z35" si="119">X35+Y35</f>
        <v>0</v>
      </c>
      <c r="AA35" s="989">
        <v>55</v>
      </c>
      <c r="AB35" s="990">
        <f t="shared" ref="AB35" si="120">Z35+AA35</f>
        <v>55</v>
      </c>
      <c r="AC35" s="989">
        <v>20</v>
      </c>
      <c r="AD35" s="990">
        <f t="shared" ref="AD35" si="121">AB35+AC35</f>
        <v>75</v>
      </c>
      <c r="AE35" s="989">
        <v>25</v>
      </c>
      <c r="AF35" s="990">
        <f t="shared" ref="AF35" si="122">AD35+AE35</f>
        <v>100</v>
      </c>
      <c r="AG35" s="989"/>
      <c r="AH35" s="990">
        <f t="shared" ref="AH35" si="123">AF35+AG35</f>
        <v>100</v>
      </c>
      <c r="AI35" s="989"/>
      <c r="AJ35" s="990">
        <f t="shared" ref="AJ35" si="124">AH35+AI35</f>
        <v>100</v>
      </c>
      <c r="AK35" s="989"/>
      <c r="AL35" s="990">
        <f t="shared" ref="AL35" si="125">AJ35+AK35</f>
        <v>100</v>
      </c>
      <c r="AM35" s="989"/>
      <c r="AN35" s="990">
        <f t="shared" ref="AN35" si="126">AL35+AM35</f>
        <v>100</v>
      </c>
      <c r="AP35" s="1018"/>
    </row>
    <row r="36" spans="1:42" s="981" customFormat="1" ht="17.25" thickBot="1">
      <c r="A36" s="985" t="s">
        <v>2512</v>
      </c>
      <c r="B36" s="986" t="s">
        <v>1974</v>
      </c>
      <c r="C36" s="987">
        <f>'OBRAS E SERVIÇOS'!M1303</f>
        <v>126923.30999999998</v>
      </c>
      <c r="D36" s="988">
        <f t="shared" si="0"/>
        <v>1.0845071010787813E-2</v>
      </c>
      <c r="E36" s="989"/>
      <c r="F36" s="990">
        <f t="shared" si="1"/>
        <v>0</v>
      </c>
      <c r="G36" s="989"/>
      <c r="H36" s="990">
        <f t="shared" si="2"/>
        <v>0</v>
      </c>
      <c r="I36" s="989"/>
      <c r="J36" s="990">
        <f t="shared" si="3"/>
        <v>0</v>
      </c>
      <c r="K36" s="989"/>
      <c r="L36" s="990">
        <f t="shared" si="4"/>
        <v>0</v>
      </c>
      <c r="M36" s="989"/>
      <c r="N36" s="990">
        <f t="shared" si="5"/>
        <v>0</v>
      </c>
      <c r="O36" s="989"/>
      <c r="P36" s="990">
        <f t="shared" si="6"/>
        <v>0</v>
      </c>
      <c r="Q36" s="989"/>
      <c r="R36" s="990">
        <f t="shared" si="7"/>
        <v>0</v>
      </c>
      <c r="S36" s="989"/>
      <c r="T36" s="990">
        <f t="shared" si="8"/>
        <v>0</v>
      </c>
      <c r="U36" s="989"/>
      <c r="V36" s="990">
        <f t="shared" si="9"/>
        <v>0</v>
      </c>
      <c r="W36" s="989"/>
      <c r="X36" s="990">
        <f t="shared" si="10"/>
        <v>0</v>
      </c>
      <c r="Y36" s="989">
        <v>30</v>
      </c>
      <c r="Z36" s="990">
        <f t="shared" si="11"/>
        <v>30</v>
      </c>
      <c r="AA36" s="989">
        <v>70</v>
      </c>
      <c r="AB36" s="990">
        <f t="shared" si="12"/>
        <v>100</v>
      </c>
      <c r="AC36" s="989"/>
      <c r="AD36" s="990">
        <f t="shared" si="13"/>
        <v>100</v>
      </c>
      <c r="AE36" s="989"/>
      <c r="AF36" s="990">
        <f t="shared" si="14"/>
        <v>100</v>
      </c>
      <c r="AG36" s="989"/>
      <c r="AH36" s="990">
        <f t="shared" si="15"/>
        <v>100</v>
      </c>
      <c r="AI36" s="989"/>
      <c r="AJ36" s="990">
        <f t="shared" si="16"/>
        <v>100</v>
      </c>
      <c r="AK36" s="989"/>
      <c r="AL36" s="990">
        <f t="shared" si="17"/>
        <v>100</v>
      </c>
      <c r="AM36" s="989"/>
      <c r="AN36" s="990">
        <f t="shared" si="18"/>
        <v>100</v>
      </c>
      <c r="AP36" s="1018"/>
    </row>
    <row r="37" spans="1:42" s="981" customFormat="1" ht="31.5" customHeight="1" thickBot="1">
      <c r="A37" s="985" t="s">
        <v>2513</v>
      </c>
      <c r="B37" s="986" t="str">
        <f>'OBRAS E SERVIÇOS'!D1305</f>
        <v xml:space="preserve">INSTALAÇÕES ELÉTRICAS - EE DE LODO (ESTAÇÃO ELEVATÓRIA DE LODO) </v>
      </c>
      <c r="C37" s="987">
        <f>'OBRAS E SERVIÇOS'!M1330</f>
        <v>10313.769999999999</v>
      </c>
      <c r="D37" s="988">
        <f t="shared" si="0"/>
        <v>8.8126891773412637E-4</v>
      </c>
      <c r="E37" s="989"/>
      <c r="F37" s="990">
        <f t="shared" ref="F37" si="127">E37</f>
        <v>0</v>
      </c>
      <c r="G37" s="989"/>
      <c r="H37" s="990">
        <f t="shared" ref="H37" si="128">F37+G37</f>
        <v>0</v>
      </c>
      <c r="I37" s="989"/>
      <c r="J37" s="990">
        <f t="shared" ref="J37" si="129">H37+I37</f>
        <v>0</v>
      </c>
      <c r="K37" s="989"/>
      <c r="L37" s="990">
        <f t="shared" ref="L37" si="130">J37+K37</f>
        <v>0</v>
      </c>
      <c r="M37" s="989"/>
      <c r="N37" s="990">
        <f t="shared" ref="N37" si="131">L37+M37</f>
        <v>0</v>
      </c>
      <c r="O37" s="989"/>
      <c r="P37" s="990">
        <f t="shared" ref="P37" si="132">N37+O37</f>
        <v>0</v>
      </c>
      <c r="Q37" s="989"/>
      <c r="R37" s="990">
        <f t="shared" ref="R37" si="133">P37+Q37</f>
        <v>0</v>
      </c>
      <c r="S37" s="989"/>
      <c r="T37" s="990">
        <f t="shared" ref="T37" si="134">R37+S37</f>
        <v>0</v>
      </c>
      <c r="U37" s="989"/>
      <c r="V37" s="990">
        <f t="shared" ref="V37" si="135">T37+U37</f>
        <v>0</v>
      </c>
      <c r="W37" s="989"/>
      <c r="X37" s="990">
        <f t="shared" ref="X37" si="136">V37+W37</f>
        <v>0</v>
      </c>
      <c r="Y37" s="989"/>
      <c r="Z37" s="990">
        <f t="shared" ref="Z37" si="137">X37+Y37</f>
        <v>0</v>
      </c>
      <c r="AA37" s="989">
        <v>55</v>
      </c>
      <c r="AB37" s="990">
        <f t="shared" ref="AB37" si="138">Z37+AA37</f>
        <v>55</v>
      </c>
      <c r="AC37" s="989">
        <v>20</v>
      </c>
      <c r="AD37" s="990">
        <f t="shared" ref="AD37" si="139">AB37+AC37</f>
        <v>75</v>
      </c>
      <c r="AE37" s="989">
        <v>25</v>
      </c>
      <c r="AF37" s="990">
        <f t="shared" ref="AF37" si="140">AD37+AE37</f>
        <v>100</v>
      </c>
      <c r="AG37" s="989"/>
      <c r="AH37" s="990">
        <f t="shared" ref="AH37" si="141">AF37+AG37</f>
        <v>100</v>
      </c>
      <c r="AI37" s="989"/>
      <c r="AJ37" s="990">
        <f t="shared" ref="AJ37" si="142">AH37+AI37</f>
        <v>100</v>
      </c>
      <c r="AK37" s="989"/>
      <c r="AL37" s="990">
        <f t="shared" ref="AL37" si="143">AJ37+AK37</f>
        <v>100</v>
      </c>
      <c r="AM37" s="989"/>
      <c r="AN37" s="990">
        <f t="shared" ref="AN37" si="144">AL37+AM37</f>
        <v>100</v>
      </c>
      <c r="AP37" s="1018"/>
    </row>
    <row r="38" spans="1:42" s="981" customFormat="1" ht="27" customHeight="1" thickBot="1">
      <c r="A38" s="985" t="s">
        <v>2515</v>
      </c>
      <c r="B38" s="986" t="s">
        <v>2502</v>
      </c>
      <c r="C38" s="987">
        <f>'OBRAS E SERVIÇOS'!M1395</f>
        <v>59820.029999999992</v>
      </c>
      <c r="D38" s="988">
        <f t="shared" si="0"/>
        <v>5.1113737359784993E-3</v>
      </c>
      <c r="E38" s="989"/>
      <c r="F38" s="990">
        <f t="shared" si="1"/>
        <v>0</v>
      </c>
      <c r="G38" s="989"/>
      <c r="H38" s="990">
        <f t="shared" si="2"/>
        <v>0</v>
      </c>
      <c r="I38" s="989"/>
      <c r="J38" s="990">
        <f t="shared" si="3"/>
        <v>0</v>
      </c>
      <c r="K38" s="989"/>
      <c r="L38" s="990">
        <f t="shared" si="4"/>
        <v>0</v>
      </c>
      <c r="M38" s="989"/>
      <c r="N38" s="990">
        <f t="shared" si="5"/>
        <v>0</v>
      </c>
      <c r="O38" s="989"/>
      <c r="P38" s="990">
        <f t="shared" si="6"/>
        <v>0</v>
      </c>
      <c r="Q38" s="989"/>
      <c r="R38" s="990">
        <f t="shared" si="7"/>
        <v>0</v>
      </c>
      <c r="S38" s="989"/>
      <c r="T38" s="990">
        <f t="shared" si="8"/>
        <v>0</v>
      </c>
      <c r="U38" s="989"/>
      <c r="V38" s="990">
        <f t="shared" si="9"/>
        <v>0</v>
      </c>
      <c r="W38" s="989"/>
      <c r="X38" s="990">
        <f t="shared" si="10"/>
        <v>0</v>
      </c>
      <c r="Y38" s="989"/>
      <c r="Z38" s="990">
        <f t="shared" si="11"/>
        <v>0</v>
      </c>
      <c r="AA38" s="989">
        <v>35</v>
      </c>
      <c r="AB38" s="990">
        <f t="shared" si="12"/>
        <v>35</v>
      </c>
      <c r="AC38" s="989">
        <v>35</v>
      </c>
      <c r="AD38" s="990">
        <f t="shared" si="13"/>
        <v>70</v>
      </c>
      <c r="AE38" s="989">
        <v>30</v>
      </c>
      <c r="AF38" s="990">
        <f t="shared" si="14"/>
        <v>100</v>
      </c>
      <c r="AG38" s="989"/>
      <c r="AH38" s="990">
        <f t="shared" si="15"/>
        <v>100</v>
      </c>
      <c r="AI38" s="989"/>
      <c r="AJ38" s="990">
        <f t="shared" si="16"/>
        <v>100</v>
      </c>
      <c r="AK38" s="989"/>
      <c r="AL38" s="990">
        <f t="shared" si="17"/>
        <v>100</v>
      </c>
      <c r="AM38" s="989"/>
      <c r="AN38" s="990">
        <f t="shared" si="18"/>
        <v>100</v>
      </c>
      <c r="AP38" s="1018"/>
    </row>
    <row r="39" spans="1:42" s="981" customFormat="1" ht="17.25" thickBot="1">
      <c r="A39" s="985" t="s">
        <v>2531</v>
      </c>
      <c r="B39" s="986" t="s">
        <v>2504</v>
      </c>
      <c r="C39" s="987">
        <f>'OBRAS E SERVIÇOS'!M1451</f>
        <v>30964.62</v>
      </c>
      <c r="D39" s="988">
        <f t="shared" si="0"/>
        <v>2.6457984961317238E-3</v>
      </c>
      <c r="E39" s="989"/>
      <c r="F39" s="990">
        <f t="shared" si="1"/>
        <v>0</v>
      </c>
      <c r="G39" s="989"/>
      <c r="H39" s="990">
        <f t="shared" si="2"/>
        <v>0</v>
      </c>
      <c r="I39" s="989"/>
      <c r="J39" s="990">
        <f t="shared" si="3"/>
        <v>0</v>
      </c>
      <c r="K39" s="989"/>
      <c r="L39" s="990">
        <f t="shared" si="4"/>
        <v>0</v>
      </c>
      <c r="M39" s="989"/>
      <c r="N39" s="990">
        <f t="shared" si="5"/>
        <v>0</v>
      </c>
      <c r="O39" s="989"/>
      <c r="P39" s="990">
        <f t="shared" si="6"/>
        <v>0</v>
      </c>
      <c r="Q39" s="989"/>
      <c r="R39" s="990">
        <f t="shared" si="7"/>
        <v>0</v>
      </c>
      <c r="S39" s="989"/>
      <c r="T39" s="990">
        <f t="shared" si="8"/>
        <v>0</v>
      </c>
      <c r="U39" s="989"/>
      <c r="V39" s="990">
        <f t="shared" si="9"/>
        <v>0</v>
      </c>
      <c r="W39" s="989"/>
      <c r="X39" s="990">
        <f t="shared" si="10"/>
        <v>0</v>
      </c>
      <c r="Y39" s="989"/>
      <c r="Z39" s="990">
        <f t="shared" si="11"/>
        <v>0</v>
      </c>
      <c r="AA39" s="989">
        <v>35</v>
      </c>
      <c r="AB39" s="990">
        <f t="shared" si="12"/>
        <v>35</v>
      </c>
      <c r="AC39" s="989">
        <v>35</v>
      </c>
      <c r="AD39" s="990">
        <f t="shared" si="13"/>
        <v>70</v>
      </c>
      <c r="AE39" s="989">
        <v>30</v>
      </c>
      <c r="AF39" s="990">
        <f t="shared" si="14"/>
        <v>100</v>
      </c>
      <c r="AG39" s="989"/>
      <c r="AH39" s="990">
        <f t="shared" si="15"/>
        <v>100</v>
      </c>
      <c r="AI39" s="989"/>
      <c r="AJ39" s="990">
        <f t="shared" si="16"/>
        <v>100</v>
      </c>
      <c r="AK39" s="989"/>
      <c r="AL39" s="990">
        <f t="shared" si="17"/>
        <v>100</v>
      </c>
      <c r="AM39" s="989"/>
      <c r="AN39" s="990">
        <f t="shared" si="18"/>
        <v>100</v>
      </c>
      <c r="AP39" s="1018"/>
    </row>
    <row r="40" spans="1:42" s="981" customFormat="1" ht="40.5" customHeight="1" thickBot="1">
      <c r="A40" s="985" t="s">
        <v>2532</v>
      </c>
      <c r="B40" s="986" t="str">
        <f>'OBRAS E SERVIÇOS'!D1453</f>
        <v>INSTALAÇÕES ELÉTRICAS - UNIDADE DE DESIDRATAÇÃO MECANIZADA (CASA DE DESIDRATAÇÃO DE LODO)</v>
      </c>
      <c r="C40" s="987">
        <f>'OBRAS E SERVIÇOS'!M1480</f>
        <v>11673.369999999999</v>
      </c>
      <c r="D40" s="988">
        <f t="shared" si="0"/>
        <v>9.9744110506730507E-4</v>
      </c>
      <c r="E40" s="989"/>
      <c r="F40" s="990">
        <f t="shared" ref="F40" si="145">E40</f>
        <v>0</v>
      </c>
      <c r="G40" s="989"/>
      <c r="H40" s="990">
        <f t="shared" ref="H40" si="146">F40+G40</f>
        <v>0</v>
      </c>
      <c r="I40" s="989"/>
      <c r="J40" s="990">
        <f t="shared" ref="J40" si="147">H40+I40</f>
        <v>0</v>
      </c>
      <c r="K40" s="989"/>
      <c r="L40" s="990">
        <f t="shared" ref="L40" si="148">J40+K40</f>
        <v>0</v>
      </c>
      <c r="M40" s="989"/>
      <c r="N40" s="990">
        <f t="shared" ref="N40" si="149">L40+M40</f>
        <v>0</v>
      </c>
      <c r="O40" s="989"/>
      <c r="P40" s="990">
        <f t="shared" ref="P40" si="150">N40+O40</f>
        <v>0</v>
      </c>
      <c r="Q40" s="989"/>
      <c r="R40" s="990">
        <f t="shared" ref="R40" si="151">P40+Q40</f>
        <v>0</v>
      </c>
      <c r="S40" s="989"/>
      <c r="T40" s="990">
        <f t="shared" ref="T40" si="152">R40+S40</f>
        <v>0</v>
      </c>
      <c r="U40" s="989"/>
      <c r="V40" s="990">
        <f t="shared" ref="V40" si="153">T40+U40</f>
        <v>0</v>
      </c>
      <c r="W40" s="989"/>
      <c r="X40" s="990">
        <f t="shared" ref="X40" si="154">V40+W40</f>
        <v>0</v>
      </c>
      <c r="Y40" s="989"/>
      <c r="Z40" s="990">
        <f t="shared" ref="Z40" si="155">X40+Y40</f>
        <v>0</v>
      </c>
      <c r="AA40" s="989">
        <v>55</v>
      </c>
      <c r="AB40" s="990">
        <f t="shared" ref="AB40" si="156">Z40+AA40</f>
        <v>55</v>
      </c>
      <c r="AC40" s="989">
        <v>20</v>
      </c>
      <c r="AD40" s="990">
        <f t="shared" ref="AD40" si="157">AB40+AC40</f>
        <v>75</v>
      </c>
      <c r="AE40" s="989">
        <v>25</v>
      </c>
      <c r="AF40" s="990">
        <f t="shared" ref="AF40" si="158">AD40+AE40</f>
        <v>100</v>
      </c>
      <c r="AG40" s="989"/>
      <c r="AH40" s="990">
        <f t="shared" ref="AH40" si="159">AF40+AG40</f>
        <v>100</v>
      </c>
      <c r="AI40" s="989"/>
      <c r="AJ40" s="990">
        <f t="shared" ref="AJ40" si="160">AH40+AI40</f>
        <v>100</v>
      </c>
      <c r="AK40" s="989"/>
      <c r="AL40" s="990">
        <f t="shared" ref="AL40" si="161">AJ40+AK40</f>
        <v>100</v>
      </c>
      <c r="AM40" s="989"/>
      <c r="AN40" s="990">
        <f t="shared" ref="AN40" si="162">AL40+AM40</f>
        <v>100</v>
      </c>
      <c r="AP40" s="1018"/>
    </row>
    <row r="41" spans="1:42" s="981" customFormat="1" ht="17.25" thickBot="1">
      <c r="A41" s="985" t="s">
        <v>2533</v>
      </c>
      <c r="B41" s="986" t="s">
        <v>1978</v>
      </c>
      <c r="C41" s="987">
        <f>'OBRAS E SERVIÇOS'!M1540</f>
        <v>222894.9</v>
      </c>
      <c r="D41" s="988">
        <f t="shared" si="0"/>
        <v>1.9045445777000684E-2</v>
      </c>
      <c r="E41" s="989"/>
      <c r="F41" s="990">
        <f t="shared" si="1"/>
        <v>0</v>
      </c>
      <c r="G41" s="989"/>
      <c r="H41" s="990">
        <f t="shared" si="2"/>
        <v>0</v>
      </c>
      <c r="I41" s="989"/>
      <c r="J41" s="990">
        <f t="shared" si="3"/>
        <v>0</v>
      </c>
      <c r="K41" s="989"/>
      <c r="L41" s="990">
        <f t="shared" si="4"/>
        <v>0</v>
      </c>
      <c r="M41" s="989"/>
      <c r="N41" s="990">
        <f t="shared" si="5"/>
        <v>0</v>
      </c>
      <c r="O41" s="989"/>
      <c r="P41" s="990">
        <f t="shared" si="6"/>
        <v>0</v>
      </c>
      <c r="Q41" s="989"/>
      <c r="R41" s="990">
        <f t="shared" si="7"/>
        <v>0</v>
      </c>
      <c r="S41" s="989"/>
      <c r="T41" s="990">
        <f t="shared" si="8"/>
        <v>0</v>
      </c>
      <c r="U41" s="989"/>
      <c r="V41" s="990">
        <f t="shared" si="9"/>
        <v>0</v>
      </c>
      <c r="W41" s="989"/>
      <c r="X41" s="990">
        <f t="shared" si="10"/>
        <v>0</v>
      </c>
      <c r="Y41" s="989">
        <v>25</v>
      </c>
      <c r="Z41" s="990">
        <f t="shared" si="11"/>
        <v>25</v>
      </c>
      <c r="AA41" s="989">
        <v>40</v>
      </c>
      <c r="AB41" s="990">
        <f t="shared" si="12"/>
        <v>65</v>
      </c>
      <c r="AC41" s="989">
        <v>35</v>
      </c>
      <c r="AD41" s="990">
        <f t="shared" si="13"/>
        <v>100</v>
      </c>
      <c r="AE41" s="989"/>
      <c r="AF41" s="990">
        <f t="shared" si="14"/>
        <v>100</v>
      </c>
      <c r="AG41" s="989"/>
      <c r="AH41" s="990">
        <f t="shared" si="15"/>
        <v>100</v>
      </c>
      <c r="AI41" s="989"/>
      <c r="AJ41" s="990">
        <f t="shared" si="16"/>
        <v>100</v>
      </c>
      <c r="AK41" s="989"/>
      <c r="AL41" s="990">
        <f t="shared" si="17"/>
        <v>100</v>
      </c>
      <c r="AM41" s="989"/>
      <c r="AN41" s="990">
        <f t="shared" si="18"/>
        <v>100</v>
      </c>
      <c r="AP41" s="1018"/>
    </row>
    <row r="42" spans="1:42" s="981" customFormat="1" ht="24.75" customHeight="1" thickBot="1">
      <c r="A42" s="985" t="s">
        <v>2534</v>
      </c>
      <c r="B42" s="986" t="s">
        <v>2507</v>
      </c>
      <c r="C42" s="987">
        <f>'OBRAS E SERVIÇOS'!M1564</f>
        <v>3534.36</v>
      </c>
      <c r="D42" s="988">
        <f t="shared" si="0"/>
        <v>3.0199641955199575E-4</v>
      </c>
      <c r="E42" s="989"/>
      <c r="F42" s="990">
        <f t="shared" si="1"/>
        <v>0</v>
      </c>
      <c r="G42" s="989"/>
      <c r="H42" s="990">
        <f t="shared" si="2"/>
        <v>0</v>
      </c>
      <c r="I42" s="989"/>
      <c r="J42" s="990">
        <f t="shared" si="3"/>
        <v>0</v>
      </c>
      <c r="K42" s="989"/>
      <c r="L42" s="990">
        <f t="shared" si="4"/>
        <v>0</v>
      </c>
      <c r="M42" s="989"/>
      <c r="N42" s="990">
        <f t="shared" si="5"/>
        <v>0</v>
      </c>
      <c r="O42" s="989"/>
      <c r="P42" s="990">
        <f t="shared" si="6"/>
        <v>0</v>
      </c>
      <c r="Q42" s="989"/>
      <c r="R42" s="990">
        <f t="shared" si="7"/>
        <v>0</v>
      </c>
      <c r="S42" s="989"/>
      <c r="T42" s="990">
        <f t="shared" si="8"/>
        <v>0</v>
      </c>
      <c r="U42" s="989"/>
      <c r="V42" s="990">
        <f t="shared" si="9"/>
        <v>0</v>
      </c>
      <c r="W42" s="989"/>
      <c r="X42" s="990">
        <f t="shared" si="10"/>
        <v>0</v>
      </c>
      <c r="Y42" s="989"/>
      <c r="Z42" s="990">
        <f t="shared" si="11"/>
        <v>0</v>
      </c>
      <c r="AA42" s="989">
        <v>45</v>
      </c>
      <c r="AB42" s="990">
        <f t="shared" si="12"/>
        <v>45</v>
      </c>
      <c r="AC42" s="989">
        <v>55</v>
      </c>
      <c r="AD42" s="990">
        <f t="shared" si="13"/>
        <v>100</v>
      </c>
      <c r="AE42" s="989"/>
      <c r="AF42" s="990">
        <f t="shared" si="14"/>
        <v>100</v>
      </c>
      <c r="AG42" s="989"/>
      <c r="AH42" s="990">
        <f t="shared" si="15"/>
        <v>100</v>
      </c>
      <c r="AI42" s="989"/>
      <c r="AJ42" s="990">
        <f t="shared" si="16"/>
        <v>100</v>
      </c>
      <c r="AK42" s="989"/>
      <c r="AL42" s="990">
        <f t="shared" si="17"/>
        <v>100</v>
      </c>
      <c r="AM42" s="989"/>
      <c r="AN42" s="990">
        <f t="shared" si="18"/>
        <v>100</v>
      </c>
      <c r="AP42" s="1018"/>
    </row>
    <row r="43" spans="1:42" s="981" customFormat="1" ht="36.75" customHeight="1" thickBot="1">
      <c r="A43" s="985" t="s">
        <v>2535</v>
      </c>
      <c r="B43" s="986" t="s">
        <v>2509</v>
      </c>
      <c r="C43" s="987">
        <f>'OBRAS E SERVIÇOS'!M1662</f>
        <v>222855.31</v>
      </c>
      <c r="D43" s="988">
        <f t="shared" si="0"/>
        <v>1.9042062975517512E-2</v>
      </c>
      <c r="E43" s="989"/>
      <c r="F43" s="990">
        <f t="shared" si="1"/>
        <v>0</v>
      </c>
      <c r="G43" s="989"/>
      <c r="H43" s="990">
        <f t="shared" si="2"/>
        <v>0</v>
      </c>
      <c r="I43" s="989"/>
      <c r="J43" s="990">
        <f t="shared" si="3"/>
        <v>0</v>
      </c>
      <c r="K43" s="989"/>
      <c r="L43" s="990">
        <f t="shared" si="4"/>
        <v>0</v>
      </c>
      <c r="M43" s="989"/>
      <c r="N43" s="990">
        <f t="shared" si="5"/>
        <v>0</v>
      </c>
      <c r="O43" s="989"/>
      <c r="P43" s="990">
        <f t="shared" si="6"/>
        <v>0</v>
      </c>
      <c r="Q43" s="989"/>
      <c r="R43" s="990">
        <f t="shared" si="7"/>
        <v>0</v>
      </c>
      <c r="S43" s="989"/>
      <c r="T43" s="990">
        <f t="shared" si="8"/>
        <v>0</v>
      </c>
      <c r="U43" s="989"/>
      <c r="V43" s="990">
        <f t="shared" si="9"/>
        <v>0</v>
      </c>
      <c r="W43" s="989"/>
      <c r="X43" s="990">
        <f t="shared" si="10"/>
        <v>0</v>
      </c>
      <c r="Y43" s="989"/>
      <c r="Z43" s="990">
        <f t="shared" si="11"/>
        <v>0</v>
      </c>
      <c r="AA43" s="989"/>
      <c r="AB43" s="990">
        <f t="shared" si="12"/>
        <v>0</v>
      </c>
      <c r="AC43" s="989">
        <v>35</v>
      </c>
      <c r="AD43" s="990">
        <f t="shared" si="13"/>
        <v>35</v>
      </c>
      <c r="AE43" s="989">
        <v>35</v>
      </c>
      <c r="AF43" s="990">
        <f t="shared" si="14"/>
        <v>70</v>
      </c>
      <c r="AG43" s="989">
        <v>30</v>
      </c>
      <c r="AH43" s="990">
        <f t="shared" si="15"/>
        <v>100</v>
      </c>
      <c r="AI43" s="989"/>
      <c r="AJ43" s="990">
        <f t="shared" si="16"/>
        <v>100</v>
      </c>
      <c r="AK43" s="989"/>
      <c r="AL43" s="990">
        <f t="shared" si="17"/>
        <v>100</v>
      </c>
      <c r="AM43" s="989"/>
      <c r="AN43" s="990">
        <f t="shared" si="18"/>
        <v>100</v>
      </c>
      <c r="AP43" s="1018"/>
    </row>
    <row r="44" spans="1:42" s="981" customFormat="1" ht="36.75" customHeight="1" thickBot="1">
      <c r="A44" s="985" t="s">
        <v>2536</v>
      </c>
      <c r="B44" s="986" t="str">
        <f>'OBRAS E SERVIÇOS'!D1664</f>
        <v>INSTALAÇÕES ELÉTRICAS (ESTAÇÃO ELEVATÓRIA DE ÁGUPARA LAVAGEM DOS FILTROS)</v>
      </c>
      <c r="C44" s="987">
        <f>'OBRAS E SERVIÇOS'!M1692</f>
        <v>62970.15</v>
      </c>
      <c r="D44" s="988">
        <f t="shared" si="0"/>
        <v>5.3805384393927347E-3</v>
      </c>
      <c r="E44" s="989"/>
      <c r="F44" s="990">
        <f t="shared" ref="F44" si="163">E44</f>
        <v>0</v>
      </c>
      <c r="G44" s="989"/>
      <c r="H44" s="990">
        <f t="shared" ref="H44" si="164">F44+G44</f>
        <v>0</v>
      </c>
      <c r="I44" s="989"/>
      <c r="J44" s="990">
        <f t="shared" ref="J44" si="165">H44+I44</f>
        <v>0</v>
      </c>
      <c r="K44" s="989"/>
      <c r="L44" s="990">
        <f t="shared" ref="L44" si="166">J44+K44</f>
        <v>0</v>
      </c>
      <c r="M44" s="989"/>
      <c r="N44" s="990">
        <f t="shared" ref="N44" si="167">L44+M44</f>
        <v>0</v>
      </c>
      <c r="O44" s="989"/>
      <c r="P44" s="990">
        <f t="shared" ref="P44" si="168">N44+O44</f>
        <v>0</v>
      </c>
      <c r="Q44" s="989"/>
      <c r="R44" s="990">
        <f t="shared" ref="R44" si="169">P44+Q44</f>
        <v>0</v>
      </c>
      <c r="S44" s="989"/>
      <c r="T44" s="990">
        <f t="shared" ref="T44" si="170">R44+S44</f>
        <v>0</v>
      </c>
      <c r="U44" s="989"/>
      <c r="V44" s="990">
        <f t="shared" ref="V44" si="171">T44+U44</f>
        <v>0</v>
      </c>
      <c r="W44" s="989"/>
      <c r="X44" s="990">
        <f t="shared" ref="X44" si="172">V44+W44</f>
        <v>0</v>
      </c>
      <c r="Y44" s="989"/>
      <c r="Z44" s="990">
        <f t="shared" ref="Z44" si="173">X44+Y44</f>
        <v>0</v>
      </c>
      <c r="AA44" s="989">
        <v>55</v>
      </c>
      <c r="AB44" s="990">
        <f t="shared" ref="AB44" si="174">Z44+AA44</f>
        <v>55</v>
      </c>
      <c r="AC44" s="989">
        <v>20</v>
      </c>
      <c r="AD44" s="990">
        <f t="shared" ref="AD44" si="175">AB44+AC44</f>
        <v>75</v>
      </c>
      <c r="AE44" s="989">
        <v>25</v>
      </c>
      <c r="AF44" s="990">
        <f t="shared" ref="AF44" si="176">AD44+AE44</f>
        <v>100</v>
      </c>
      <c r="AG44" s="989"/>
      <c r="AH44" s="990">
        <f t="shared" ref="AH44" si="177">AF44+AG44</f>
        <v>100</v>
      </c>
      <c r="AI44" s="989"/>
      <c r="AJ44" s="990">
        <f t="shared" ref="AJ44" si="178">AH44+AI44</f>
        <v>100</v>
      </c>
      <c r="AK44" s="989"/>
      <c r="AL44" s="990">
        <f t="shared" ref="AL44" si="179">AJ44+AK44</f>
        <v>100</v>
      </c>
      <c r="AM44" s="989"/>
      <c r="AN44" s="990">
        <f t="shared" ref="AN44" si="180">AL44+AM44</f>
        <v>100</v>
      </c>
      <c r="AP44" s="1018"/>
    </row>
    <row r="45" spans="1:42" s="981" customFormat="1" ht="17.25" thickBot="1">
      <c r="A45" s="985" t="s">
        <v>2537</v>
      </c>
      <c r="B45" s="986" t="s">
        <v>2511</v>
      </c>
      <c r="C45" s="987">
        <f>'OBRAS E SERVIÇOS'!M1781</f>
        <v>39623</v>
      </c>
      <c r="D45" s="988">
        <f t="shared" si="0"/>
        <v>3.3856211964567074E-3</v>
      </c>
      <c r="E45" s="989"/>
      <c r="F45" s="990">
        <f t="shared" si="1"/>
        <v>0</v>
      </c>
      <c r="G45" s="989"/>
      <c r="H45" s="990">
        <f t="shared" si="2"/>
        <v>0</v>
      </c>
      <c r="I45" s="989"/>
      <c r="J45" s="990">
        <f t="shared" si="3"/>
        <v>0</v>
      </c>
      <c r="K45" s="989"/>
      <c r="L45" s="990">
        <f t="shared" si="4"/>
        <v>0</v>
      </c>
      <c r="M45" s="989"/>
      <c r="N45" s="990">
        <f t="shared" si="5"/>
        <v>0</v>
      </c>
      <c r="O45" s="989"/>
      <c r="P45" s="990">
        <f t="shared" si="6"/>
        <v>0</v>
      </c>
      <c r="Q45" s="989"/>
      <c r="R45" s="990">
        <f t="shared" si="7"/>
        <v>0</v>
      </c>
      <c r="S45" s="989"/>
      <c r="T45" s="990">
        <f t="shared" si="8"/>
        <v>0</v>
      </c>
      <c r="U45" s="989"/>
      <c r="V45" s="990">
        <f t="shared" si="9"/>
        <v>0</v>
      </c>
      <c r="W45" s="989"/>
      <c r="X45" s="990">
        <f t="shared" si="10"/>
        <v>0</v>
      </c>
      <c r="Y45" s="989"/>
      <c r="Z45" s="990">
        <f t="shared" si="11"/>
        <v>0</v>
      </c>
      <c r="AA45" s="989"/>
      <c r="AB45" s="990">
        <f t="shared" si="12"/>
        <v>0</v>
      </c>
      <c r="AC45" s="989"/>
      <c r="AD45" s="990">
        <f t="shared" si="13"/>
        <v>0</v>
      </c>
      <c r="AE45" s="989">
        <v>55</v>
      </c>
      <c r="AF45" s="990">
        <f t="shared" si="14"/>
        <v>55</v>
      </c>
      <c r="AG45" s="989">
        <v>45</v>
      </c>
      <c r="AH45" s="990">
        <f t="shared" si="15"/>
        <v>100</v>
      </c>
      <c r="AI45" s="989"/>
      <c r="AJ45" s="990">
        <f t="shared" si="16"/>
        <v>100</v>
      </c>
      <c r="AK45" s="989"/>
      <c r="AL45" s="990">
        <f t="shared" si="17"/>
        <v>100</v>
      </c>
      <c r="AM45" s="989"/>
      <c r="AN45" s="990">
        <f t="shared" si="18"/>
        <v>100</v>
      </c>
      <c r="AP45" s="1018"/>
    </row>
    <row r="46" spans="1:42" s="981" customFormat="1" ht="17.25" thickBot="1">
      <c r="A46" s="985" t="s">
        <v>2538</v>
      </c>
      <c r="B46" s="986" t="str">
        <f>'OBRAS E SERVIÇOS'!D1783</f>
        <v>INSTALAÇÕES ELÉTRICAS (PORTARIA)</v>
      </c>
      <c r="C46" s="987">
        <f>'OBRAS E SERVIÇOS'!M1814</f>
        <v>7732.9999999999991</v>
      </c>
      <c r="D46" s="988">
        <f t="shared" si="0"/>
        <v>6.6075281306816024E-4</v>
      </c>
      <c r="E46" s="989"/>
      <c r="F46" s="990">
        <f t="shared" ref="F46" si="181">E46</f>
        <v>0</v>
      </c>
      <c r="G46" s="989"/>
      <c r="H46" s="990">
        <f t="shared" ref="H46" si="182">F46+G46</f>
        <v>0</v>
      </c>
      <c r="I46" s="989"/>
      <c r="J46" s="990">
        <f t="shared" ref="J46" si="183">H46+I46</f>
        <v>0</v>
      </c>
      <c r="K46" s="989"/>
      <c r="L46" s="990">
        <f t="shared" ref="L46" si="184">J46+K46</f>
        <v>0</v>
      </c>
      <c r="M46" s="989"/>
      <c r="N46" s="990">
        <f t="shared" ref="N46" si="185">L46+M46</f>
        <v>0</v>
      </c>
      <c r="O46" s="989"/>
      <c r="P46" s="990">
        <f t="shared" ref="P46" si="186">N46+O46</f>
        <v>0</v>
      </c>
      <c r="Q46" s="989"/>
      <c r="R46" s="990">
        <f t="shared" ref="R46" si="187">P46+Q46</f>
        <v>0</v>
      </c>
      <c r="S46" s="989"/>
      <c r="T46" s="990">
        <f t="shared" ref="T46" si="188">R46+S46</f>
        <v>0</v>
      </c>
      <c r="U46" s="989"/>
      <c r="V46" s="990">
        <f t="shared" ref="V46" si="189">T46+U46</f>
        <v>0</v>
      </c>
      <c r="W46" s="989"/>
      <c r="X46" s="990">
        <f t="shared" ref="X46" si="190">V46+W46</f>
        <v>0</v>
      </c>
      <c r="Y46" s="989"/>
      <c r="Z46" s="990">
        <f t="shared" ref="Z46" si="191">X46+Y46</f>
        <v>0</v>
      </c>
      <c r="AA46" s="989">
        <v>55</v>
      </c>
      <c r="AB46" s="990">
        <f t="shared" ref="AB46" si="192">Z46+AA46</f>
        <v>55</v>
      </c>
      <c r="AC46" s="989">
        <v>20</v>
      </c>
      <c r="AD46" s="990">
        <f t="shared" ref="AD46" si="193">AB46+AC46</f>
        <v>75</v>
      </c>
      <c r="AE46" s="989">
        <v>25</v>
      </c>
      <c r="AF46" s="990">
        <f t="shared" ref="AF46" si="194">AD46+AE46</f>
        <v>100</v>
      </c>
      <c r="AG46" s="989"/>
      <c r="AH46" s="990">
        <f t="shared" ref="AH46" si="195">AF46+AG46</f>
        <v>100</v>
      </c>
      <c r="AI46" s="989"/>
      <c r="AJ46" s="990">
        <f t="shared" ref="AJ46" si="196">AH46+AI46</f>
        <v>100</v>
      </c>
      <c r="AK46" s="989"/>
      <c r="AL46" s="990">
        <f t="shared" ref="AL46" si="197">AJ46+AK46</f>
        <v>100</v>
      </c>
      <c r="AM46" s="989"/>
      <c r="AN46" s="990">
        <f t="shared" ref="AN46" si="198">AL46+AM46</f>
        <v>100</v>
      </c>
      <c r="AP46" s="1018"/>
    </row>
    <row r="47" spans="1:42" s="981" customFormat="1" ht="17.25" thickBot="1">
      <c r="A47" s="985" t="s">
        <v>2539</v>
      </c>
      <c r="B47" s="986" t="s">
        <v>1985</v>
      </c>
      <c r="C47" s="987">
        <f>'OBRAS E SERVIÇOS'!M1894</f>
        <v>43952.520000000004</v>
      </c>
      <c r="D47" s="988">
        <f t="shared" si="0"/>
        <v>3.7555607437520472E-3</v>
      </c>
      <c r="E47" s="989"/>
      <c r="F47" s="990">
        <f t="shared" si="1"/>
        <v>0</v>
      </c>
      <c r="G47" s="989"/>
      <c r="H47" s="990">
        <f t="shared" si="2"/>
        <v>0</v>
      </c>
      <c r="I47" s="989"/>
      <c r="J47" s="990">
        <f t="shared" si="3"/>
        <v>0</v>
      </c>
      <c r="K47" s="989"/>
      <c r="L47" s="990">
        <f t="shared" si="4"/>
        <v>0</v>
      </c>
      <c r="M47" s="989"/>
      <c r="N47" s="990">
        <f t="shared" si="5"/>
        <v>0</v>
      </c>
      <c r="O47" s="989"/>
      <c r="P47" s="990">
        <f t="shared" si="6"/>
        <v>0</v>
      </c>
      <c r="Q47" s="989"/>
      <c r="R47" s="990">
        <f t="shared" si="7"/>
        <v>0</v>
      </c>
      <c r="S47" s="989"/>
      <c r="T47" s="990">
        <f t="shared" si="8"/>
        <v>0</v>
      </c>
      <c r="U47" s="989"/>
      <c r="V47" s="990">
        <f t="shared" si="9"/>
        <v>0</v>
      </c>
      <c r="W47" s="989"/>
      <c r="X47" s="990">
        <f t="shared" si="10"/>
        <v>0</v>
      </c>
      <c r="Y47" s="989"/>
      <c r="Z47" s="990">
        <f t="shared" si="11"/>
        <v>0</v>
      </c>
      <c r="AA47" s="989"/>
      <c r="AB47" s="990">
        <f t="shared" si="12"/>
        <v>0</v>
      </c>
      <c r="AC47" s="989"/>
      <c r="AD47" s="990">
        <f t="shared" si="13"/>
        <v>0</v>
      </c>
      <c r="AE47" s="989"/>
      <c r="AF47" s="990">
        <f t="shared" si="14"/>
        <v>0</v>
      </c>
      <c r="AG47" s="989">
        <v>45</v>
      </c>
      <c r="AH47" s="990">
        <f t="shared" si="15"/>
        <v>45</v>
      </c>
      <c r="AI47" s="989">
        <v>55</v>
      </c>
      <c r="AJ47" s="990">
        <f t="shared" si="16"/>
        <v>100</v>
      </c>
      <c r="AK47" s="989"/>
      <c r="AL47" s="990">
        <f t="shared" si="17"/>
        <v>100</v>
      </c>
      <c r="AM47" s="989"/>
      <c r="AN47" s="990">
        <f t="shared" si="18"/>
        <v>100</v>
      </c>
      <c r="AP47" s="1018"/>
    </row>
    <row r="48" spans="1:42" s="981" customFormat="1" ht="17.25" thickBot="1">
      <c r="A48" s="985" t="s">
        <v>2540</v>
      </c>
      <c r="B48" s="986" t="str">
        <f>'OBRAS E SERVIÇOS'!D1896</f>
        <v>INSTALAÇÕES ELÉTRICAS (SALA DO QDG)</v>
      </c>
      <c r="C48" s="987">
        <f>'OBRAS E SERVIÇOS'!M1923</f>
        <v>8749.52</v>
      </c>
      <c r="D48" s="988">
        <f t="shared" si="0"/>
        <v>7.4761023574241962E-4</v>
      </c>
      <c r="E48" s="989"/>
      <c r="F48" s="990">
        <f t="shared" ref="F48" si="199">E48</f>
        <v>0</v>
      </c>
      <c r="G48" s="989"/>
      <c r="H48" s="990">
        <f t="shared" ref="H48" si="200">F48+G48</f>
        <v>0</v>
      </c>
      <c r="I48" s="989"/>
      <c r="J48" s="990">
        <f t="shared" ref="J48" si="201">H48+I48</f>
        <v>0</v>
      </c>
      <c r="K48" s="989"/>
      <c r="L48" s="990">
        <f t="shared" ref="L48" si="202">J48+K48</f>
        <v>0</v>
      </c>
      <c r="M48" s="989"/>
      <c r="N48" s="990">
        <f t="shared" ref="N48" si="203">L48+M48</f>
        <v>0</v>
      </c>
      <c r="O48" s="989"/>
      <c r="P48" s="990">
        <f t="shared" ref="P48" si="204">N48+O48</f>
        <v>0</v>
      </c>
      <c r="Q48" s="989"/>
      <c r="R48" s="990">
        <f t="shared" ref="R48" si="205">P48+Q48</f>
        <v>0</v>
      </c>
      <c r="S48" s="989"/>
      <c r="T48" s="990">
        <f t="shared" ref="T48" si="206">R48+S48</f>
        <v>0</v>
      </c>
      <c r="U48" s="989"/>
      <c r="V48" s="990">
        <f t="shared" ref="V48" si="207">T48+U48</f>
        <v>0</v>
      </c>
      <c r="W48" s="989"/>
      <c r="X48" s="990">
        <f t="shared" ref="X48" si="208">V48+W48</f>
        <v>0</v>
      </c>
      <c r="Y48" s="989"/>
      <c r="Z48" s="990">
        <f t="shared" ref="Z48" si="209">X48+Y48</f>
        <v>0</v>
      </c>
      <c r="AA48" s="989">
        <v>55</v>
      </c>
      <c r="AB48" s="990">
        <f t="shared" ref="AB48" si="210">Z48+AA48</f>
        <v>55</v>
      </c>
      <c r="AC48" s="989">
        <v>20</v>
      </c>
      <c r="AD48" s="990">
        <f t="shared" ref="AD48" si="211">AB48+AC48</f>
        <v>75</v>
      </c>
      <c r="AE48" s="989">
        <v>25</v>
      </c>
      <c r="AF48" s="990">
        <f t="shared" ref="AF48" si="212">AD48+AE48</f>
        <v>100</v>
      </c>
      <c r="AG48" s="989"/>
      <c r="AH48" s="990">
        <f t="shared" ref="AH48" si="213">AF48+AG48</f>
        <v>100</v>
      </c>
      <c r="AI48" s="989"/>
      <c r="AJ48" s="990">
        <f t="shared" ref="AJ48" si="214">AH48+AI48</f>
        <v>100</v>
      </c>
      <c r="AK48" s="989"/>
      <c r="AL48" s="990">
        <f t="shared" ref="AL48" si="215">AJ48+AK48</f>
        <v>100</v>
      </c>
      <c r="AM48" s="989"/>
      <c r="AN48" s="990">
        <f t="shared" ref="AN48" si="216">AL48+AM48</f>
        <v>100</v>
      </c>
      <c r="AP48" s="1018"/>
    </row>
    <row r="49" spans="1:42" s="981" customFormat="1" ht="17.25" thickBot="1">
      <c r="A49" s="985" t="s">
        <v>2541</v>
      </c>
      <c r="B49" s="986" t="s">
        <v>2514</v>
      </c>
      <c r="C49" s="987">
        <f>'OBRAS E SERVIÇOS'!M1969</f>
        <v>13610.34</v>
      </c>
      <c r="D49" s="988">
        <f t="shared" si="0"/>
        <v>1.1629471669228121E-3</v>
      </c>
      <c r="E49" s="989"/>
      <c r="F49" s="990">
        <f t="shared" si="1"/>
        <v>0</v>
      </c>
      <c r="G49" s="989"/>
      <c r="H49" s="990">
        <f t="shared" si="2"/>
        <v>0</v>
      </c>
      <c r="I49" s="989"/>
      <c r="J49" s="990">
        <f t="shared" si="3"/>
        <v>0</v>
      </c>
      <c r="K49" s="989"/>
      <c r="L49" s="990">
        <f t="shared" si="4"/>
        <v>0</v>
      </c>
      <c r="M49" s="989"/>
      <c r="N49" s="990">
        <f t="shared" si="5"/>
        <v>0</v>
      </c>
      <c r="O49" s="989"/>
      <c r="P49" s="990">
        <f t="shared" si="6"/>
        <v>0</v>
      </c>
      <c r="Q49" s="989"/>
      <c r="R49" s="990">
        <f t="shared" si="7"/>
        <v>0</v>
      </c>
      <c r="S49" s="989"/>
      <c r="T49" s="990">
        <f t="shared" si="8"/>
        <v>0</v>
      </c>
      <c r="U49" s="989"/>
      <c r="V49" s="990">
        <f t="shared" si="9"/>
        <v>0</v>
      </c>
      <c r="W49" s="989"/>
      <c r="X49" s="990">
        <f t="shared" si="10"/>
        <v>0</v>
      </c>
      <c r="Y49" s="989"/>
      <c r="Z49" s="990">
        <f t="shared" si="11"/>
        <v>0</v>
      </c>
      <c r="AA49" s="989"/>
      <c r="AB49" s="990">
        <f t="shared" si="12"/>
        <v>0</v>
      </c>
      <c r="AC49" s="989"/>
      <c r="AD49" s="990">
        <f t="shared" si="13"/>
        <v>0</v>
      </c>
      <c r="AE49" s="989"/>
      <c r="AF49" s="990">
        <f t="shared" si="14"/>
        <v>0</v>
      </c>
      <c r="AG49" s="989">
        <v>45</v>
      </c>
      <c r="AH49" s="990">
        <f t="shared" si="15"/>
        <v>45</v>
      </c>
      <c r="AI49" s="989">
        <v>55</v>
      </c>
      <c r="AJ49" s="990">
        <f t="shared" si="16"/>
        <v>100</v>
      </c>
      <c r="AK49" s="989"/>
      <c r="AL49" s="990">
        <f t="shared" si="17"/>
        <v>100</v>
      </c>
      <c r="AM49" s="989"/>
      <c r="AN49" s="990">
        <f t="shared" si="18"/>
        <v>100</v>
      </c>
      <c r="AP49" s="1018"/>
    </row>
    <row r="50" spans="1:42" s="981" customFormat="1" ht="17.25" thickBot="1">
      <c r="A50" s="985" t="s">
        <v>2542</v>
      </c>
      <c r="B50" s="986" t="s">
        <v>1988</v>
      </c>
      <c r="C50" s="987">
        <f>'OBRAS E SERVIÇOS'!M2022</f>
        <v>23578.81</v>
      </c>
      <c r="D50" s="988">
        <f t="shared" si="0"/>
        <v>2.0147116301952243E-3</v>
      </c>
      <c r="E50" s="989"/>
      <c r="F50" s="990">
        <f t="shared" si="1"/>
        <v>0</v>
      </c>
      <c r="G50" s="989"/>
      <c r="H50" s="990">
        <f t="shared" si="2"/>
        <v>0</v>
      </c>
      <c r="I50" s="989"/>
      <c r="J50" s="990">
        <f t="shared" si="3"/>
        <v>0</v>
      </c>
      <c r="K50" s="989"/>
      <c r="L50" s="990">
        <f t="shared" si="4"/>
        <v>0</v>
      </c>
      <c r="M50" s="989"/>
      <c r="N50" s="990">
        <f t="shared" si="5"/>
        <v>0</v>
      </c>
      <c r="O50" s="989"/>
      <c r="P50" s="990">
        <f t="shared" si="6"/>
        <v>0</v>
      </c>
      <c r="Q50" s="989"/>
      <c r="R50" s="990">
        <f t="shared" si="7"/>
        <v>0</v>
      </c>
      <c r="S50" s="989"/>
      <c r="T50" s="990">
        <f t="shared" si="8"/>
        <v>0</v>
      </c>
      <c r="U50" s="989"/>
      <c r="V50" s="990">
        <f t="shared" si="9"/>
        <v>0</v>
      </c>
      <c r="W50" s="989"/>
      <c r="X50" s="990">
        <f t="shared" si="10"/>
        <v>0</v>
      </c>
      <c r="Y50" s="989"/>
      <c r="Z50" s="990">
        <f t="shared" si="11"/>
        <v>0</v>
      </c>
      <c r="AA50" s="989"/>
      <c r="AB50" s="990">
        <f t="shared" si="12"/>
        <v>0</v>
      </c>
      <c r="AC50" s="989"/>
      <c r="AD50" s="990">
        <f t="shared" si="13"/>
        <v>0</v>
      </c>
      <c r="AE50" s="989"/>
      <c r="AF50" s="990">
        <f t="shared" si="14"/>
        <v>0</v>
      </c>
      <c r="AG50" s="989"/>
      <c r="AH50" s="990">
        <f t="shared" si="15"/>
        <v>0</v>
      </c>
      <c r="AI50" s="989"/>
      <c r="AJ50" s="990">
        <f t="shared" si="16"/>
        <v>0</v>
      </c>
      <c r="AK50" s="989">
        <v>100</v>
      </c>
      <c r="AL50" s="990">
        <f t="shared" si="17"/>
        <v>100</v>
      </c>
      <c r="AM50" s="989"/>
      <c r="AN50" s="990">
        <f t="shared" si="18"/>
        <v>100</v>
      </c>
      <c r="AP50" s="1018"/>
    </row>
    <row r="51" spans="1:42" s="981" customFormat="1" ht="17.25" thickBot="1">
      <c r="A51" s="985"/>
      <c r="B51" s="986"/>
      <c r="C51" s="987"/>
      <c r="D51" s="991"/>
      <c r="E51" s="989"/>
      <c r="F51" s="990"/>
      <c r="G51" s="989"/>
      <c r="H51" s="990"/>
      <c r="I51" s="989"/>
      <c r="J51" s="990"/>
      <c r="K51" s="989"/>
      <c r="L51" s="990"/>
      <c r="M51" s="989"/>
      <c r="N51" s="990"/>
      <c r="O51" s="989"/>
      <c r="P51" s="990"/>
      <c r="Q51" s="989"/>
      <c r="R51" s="990"/>
      <c r="S51" s="989"/>
      <c r="T51" s="990"/>
      <c r="U51" s="989"/>
      <c r="V51" s="990"/>
      <c r="W51" s="989"/>
      <c r="X51" s="990"/>
      <c r="Y51" s="989"/>
      <c r="Z51" s="990"/>
      <c r="AA51" s="989"/>
      <c r="AB51" s="990"/>
      <c r="AC51" s="989"/>
      <c r="AD51" s="990"/>
      <c r="AE51" s="989"/>
      <c r="AF51" s="990"/>
      <c r="AG51" s="989"/>
      <c r="AH51" s="990"/>
      <c r="AI51" s="989"/>
      <c r="AJ51" s="990"/>
      <c r="AK51" s="989"/>
      <c r="AL51" s="990"/>
      <c r="AM51" s="989"/>
      <c r="AN51" s="990"/>
      <c r="AP51" s="1018"/>
    </row>
    <row r="52" spans="1:42" s="981" customFormat="1" ht="17.25" thickBot="1">
      <c r="A52" s="985"/>
      <c r="B52" s="986"/>
      <c r="C52" s="987"/>
      <c r="D52" s="1017"/>
      <c r="E52" s="989"/>
      <c r="F52" s="990"/>
      <c r="G52" s="989"/>
      <c r="H52" s="990"/>
      <c r="I52" s="989"/>
      <c r="J52" s="990"/>
      <c r="K52" s="989"/>
      <c r="L52" s="990"/>
      <c r="M52" s="989"/>
      <c r="N52" s="990"/>
      <c r="O52" s="989"/>
      <c r="P52" s="990"/>
      <c r="Q52" s="989"/>
      <c r="R52" s="990"/>
      <c r="S52" s="989"/>
      <c r="T52" s="990"/>
      <c r="U52" s="989"/>
      <c r="V52" s="990"/>
      <c r="W52" s="989"/>
      <c r="X52" s="990"/>
      <c r="Y52" s="989"/>
      <c r="Z52" s="990"/>
      <c r="AA52" s="989"/>
      <c r="AB52" s="990"/>
      <c r="AC52" s="989"/>
      <c r="AD52" s="990"/>
      <c r="AE52" s="989"/>
      <c r="AF52" s="990"/>
      <c r="AG52" s="989"/>
      <c r="AH52" s="990"/>
      <c r="AI52" s="989"/>
      <c r="AJ52" s="990"/>
      <c r="AK52" s="989"/>
      <c r="AL52" s="990"/>
      <c r="AM52" s="989"/>
      <c r="AN52" s="990"/>
      <c r="AP52" s="1018"/>
    </row>
    <row r="53" spans="1:42" s="981" customFormat="1" ht="17.25" thickBot="1">
      <c r="A53" s="985">
        <v>2</v>
      </c>
      <c r="B53" s="992" t="s">
        <v>2413</v>
      </c>
      <c r="C53" s="987"/>
      <c r="D53" s="991"/>
      <c r="E53" s="989"/>
      <c r="F53" s="990"/>
      <c r="G53" s="989"/>
      <c r="H53" s="990"/>
      <c r="I53" s="989"/>
      <c r="J53" s="990"/>
      <c r="K53" s="989"/>
      <c r="L53" s="990"/>
      <c r="M53" s="989"/>
      <c r="N53" s="990"/>
      <c r="O53" s="989"/>
      <c r="P53" s="990"/>
      <c r="Q53" s="989"/>
      <c r="R53" s="990"/>
      <c r="S53" s="989"/>
      <c r="T53" s="990"/>
      <c r="U53" s="989"/>
      <c r="V53" s="990"/>
      <c r="W53" s="989"/>
      <c r="X53" s="990"/>
      <c r="Y53" s="989"/>
      <c r="Z53" s="990"/>
      <c r="AA53" s="989"/>
      <c r="AB53" s="990"/>
      <c r="AC53" s="989"/>
      <c r="AD53" s="990"/>
      <c r="AE53" s="989"/>
      <c r="AF53" s="990"/>
      <c r="AG53" s="989"/>
      <c r="AH53" s="990"/>
      <c r="AI53" s="989"/>
      <c r="AJ53" s="990"/>
      <c r="AK53" s="989"/>
      <c r="AL53" s="990"/>
      <c r="AM53" s="989"/>
      <c r="AN53" s="990"/>
      <c r="AP53" s="1018"/>
    </row>
    <row r="54" spans="1:42" s="981" customFormat="1" ht="17.25" thickBot="1">
      <c r="A54" s="985" t="s">
        <v>9</v>
      </c>
      <c r="B54" s="986" t="str">
        <f>'MAQUINARIOS E EQUIPAMENTOS'!G12</f>
        <v>DISTRIBUIÇÃO GERAL</v>
      </c>
      <c r="C54" s="987">
        <f>'MAQUINARIOS E EQUIPAMENTOS'!P48</f>
        <v>148412.97</v>
      </c>
      <c r="D54" s="988">
        <f t="shared" ref="D54:D84" si="217">C54/$C$87</f>
        <v>1.2681273428591813E-2</v>
      </c>
      <c r="E54" s="989"/>
      <c r="F54" s="990">
        <f t="shared" ref="F54" si="218">E54</f>
        <v>0</v>
      </c>
      <c r="G54" s="989"/>
      <c r="H54" s="990">
        <f t="shared" ref="H54" si="219">F54+G54</f>
        <v>0</v>
      </c>
      <c r="I54" s="989"/>
      <c r="J54" s="990">
        <f t="shared" ref="J54" si="220">H54+I54</f>
        <v>0</v>
      </c>
      <c r="K54" s="989"/>
      <c r="L54" s="990">
        <f t="shared" ref="L54" si="221">J54+K54</f>
        <v>0</v>
      </c>
      <c r="M54" s="989"/>
      <c r="N54" s="990">
        <f t="shared" ref="N54" si="222">L54+M54</f>
        <v>0</v>
      </c>
      <c r="O54" s="989"/>
      <c r="P54" s="990">
        <f t="shared" ref="P54" si="223">N54+O54</f>
        <v>0</v>
      </c>
      <c r="Q54" s="989"/>
      <c r="R54" s="990">
        <f t="shared" ref="R54" si="224">P54+Q54</f>
        <v>0</v>
      </c>
      <c r="S54" s="989"/>
      <c r="T54" s="990">
        <f t="shared" ref="T54" si="225">R54+S54</f>
        <v>0</v>
      </c>
      <c r="U54" s="989"/>
      <c r="V54" s="990">
        <f t="shared" ref="V54" si="226">T54+U54</f>
        <v>0</v>
      </c>
      <c r="W54" s="989"/>
      <c r="X54" s="990">
        <f t="shared" ref="X54" si="227">V54+W54</f>
        <v>0</v>
      </c>
      <c r="Y54" s="989">
        <v>20</v>
      </c>
      <c r="Z54" s="990">
        <f t="shared" ref="Z54" si="228">X54+Y54</f>
        <v>20</v>
      </c>
      <c r="AA54" s="989">
        <v>25</v>
      </c>
      <c r="AB54" s="990">
        <f t="shared" ref="AB54" si="229">Z54+AA54</f>
        <v>45</v>
      </c>
      <c r="AC54" s="989">
        <v>30</v>
      </c>
      <c r="AD54" s="990">
        <f t="shared" ref="AD54" si="230">AB54+AC54</f>
        <v>75</v>
      </c>
      <c r="AE54" s="989">
        <v>10</v>
      </c>
      <c r="AF54" s="990">
        <f t="shared" ref="AF54" si="231">AD54+AE54</f>
        <v>85</v>
      </c>
      <c r="AG54" s="989">
        <v>15</v>
      </c>
      <c r="AH54" s="990">
        <f t="shared" ref="AH54" si="232">AF54+AG54</f>
        <v>100</v>
      </c>
      <c r="AI54" s="989"/>
      <c r="AJ54" s="990">
        <f t="shared" ref="AJ54" si="233">AH54+AI54</f>
        <v>100</v>
      </c>
      <c r="AK54" s="989"/>
      <c r="AL54" s="990">
        <f t="shared" ref="AL54" si="234">AJ54+AK54</f>
        <v>100</v>
      </c>
      <c r="AM54" s="989"/>
      <c r="AN54" s="990">
        <f t="shared" ref="AN54" si="235">AL54+AM54</f>
        <v>100</v>
      </c>
      <c r="AP54" s="1018"/>
    </row>
    <row r="55" spans="1:42" s="981" customFormat="1" ht="17.25" thickBot="1">
      <c r="A55" s="985" t="s">
        <v>8</v>
      </c>
      <c r="B55" s="986" t="str">
        <f>'MAQUINARIOS E EQUIPAMENTOS'!G50</f>
        <v>POSTE DE ENTRADA</v>
      </c>
      <c r="C55" s="987">
        <f>'MAQUINARIOS E EQUIPAMENTOS'!P101</f>
        <v>4499.5899999999992</v>
      </c>
      <c r="D55" s="988">
        <f t="shared" si="217"/>
        <v>3.8447132421484068E-4</v>
      </c>
      <c r="E55" s="989"/>
      <c r="F55" s="990">
        <f t="shared" ref="F55:F74" si="236">E55</f>
        <v>0</v>
      </c>
      <c r="G55" s="989"/>
      <c r="H55" s="990">
        <f t="shared" ref="H55:H74" si="237">F55+G55</f>
        <v>0</v>
      </c>
      <c r="I55" s="989"/>
      <c r="J55" s="990">
        <f t="shared" ref="J55:J74" si="238">H55+I55</f>
        <v>0</v>
      </c>
      <c r="K55" s="989"/>
      <c r="L55" s="990">
        <f t="shared" ref="L55:L74" si="239">J55+K55</f>
        <v>0</v>
      </c>
      <c r="M55" s="989"/>
      <c r="N55" s="990">
        <f t="shared" ref="N55:N74" si="240">L55+M55</f>
        <v>0</v>
      </c>
      <c r="O55" s="989"/>
      <c r="P55" s="990">
        <f t="shared" ref="P55:P74" si="241">N55+O55</f>
        <v>0</v>
      </c>
      <c r="Q55" s="989"/>
      <c r="R55" s="990">
        <f t="shared" si="7"/>
        <v>0</v>
      </c>
      <c r="S55" s="989"/>
      <c r="T55" s="990">
        <f t="shared" si="8"/>
        <v>0</v>
      </c>
      <c r="U55" s="989"/>
      <c r="V55" s="990">
        <f t="shared" si="9"/>
        <v>0</v>
      </c>
      <c r="W55" s="989"/>
      <c r="X55" s="990">
        <f t="shared" si="10"/>
        <v>0</v>
      </c>
      <c r="Y55" s="989">
        <v>20</v>
      </c>
      <c r="Z55" s="990">
        <f t="shared" si="11"/>
        <v>20</v>
      </c>
      <c r="AA55" s="989">
        <v>25</v>
      </c>
      <c r="AB55" s="990">
        <f t="shared" si="12"/>
        <v>45</v>
      </c>
      <c r="AC55" s="989">
        <v>30</v>
      </c>
      <c r="AD55" s="990">
        <f t="shared" si="13"/>
        <v>75</v>
      </c>
      <c r="AE55" s="989">
        <v>10</v>
      </c>
      <c r="AF55" s="990">
        <f t="shared" si="14"/>
        <v>85</v>
      </c>
      <c r="AG55" s="989">
        <v>15</v>
      </c>
      <c r="AH55" s="990">
        <f t="shared" si="15"/>
        <v>100</v>
      </c>
      <c r="AI55" s="989"/>
      <c r="AJ55" s="990">
        <f t="shared" si="16"/>
        <v>100</v>
      </c>
      <c r="AK55" s="989"/>
      <c r="AL55" s="990">
        <f t="shared" si="17"/>
        <v>100</v>
      </c>
      <c r="AM55" s="989"/>
      <c r="AN55" s="990">
        <f t="shared" si="18"/>
        <v>100</v>
      </c>
      <c r="AP55" s="1018"/>
    </row>
    <row r="56" spans="1:42" s="981" customFormat="1" ht="26.25" customHeight="1" thickBot="1">
      <c r="A56" s="985" t="s">
        <v>7</v>
      </c>
      <c r="B56" s="986" t="str">
        <f>'MAQUINARIOS E EQUIPAMENTOS'!G103</f>
        <v>CAIXA DO MEDIDOR DE VAZÃO ELETROMAGNÉTICO</v>
      </c>
      <c r="C56" s="987">
        <f>'MAQUINARIOS E EQUIPAMENTOS'!P122</f>
        <v>21799.19</v>
      </c>
      <c r="D56" s="988">
        <f t="shared" si="217"/>
        <v>1.8626504739567191E-3</v>
      </c>
      <c r="E56" s="989"/>
      <c r="F56" s="990">
        <f t="shared" si="236"/>
        <v>0</v>
      </c>
      <c r="G56" s="989"/>
      <c r="H56" s="990">
        <f t="shared" si="237"/>
        <v>0</v>
      </c>
      <c r="I56" s="989"/>
      <c r="J56" s="990">
        <f t="shared" si="238"/>
        <v>0</v>
      </c>
      <c r="K56" s="989"/>
      <c r="L56" s="990">
        <f t="shared" si="239"/>
        <v>0</v>
      </c>
      <c r="M56" s="989"/>
      <c r="N56" s="990">
        <f t="shared" si="240"/>
        <v>0</v>
      </c>
      <c r="O56" s="989"/>
      <c r="P56" s="990">
        <f t="shared" si="241"/>
        <v>0</v>
      </c>
      <c r="Q56" s="989"/>
      <c r="R56" s="990">
        <f t="shared" si="7"/>
        <v>0</v>
      </c>
      <c r="S56" s="989"/>
      <c r="T56" s="990">
        <f t="shared" si="8"/>
        <v>0</v>
      </c>
      <c r="U56" s="989"/>
      <c r="V56" s="990">
        <f t="shared" si="9"/>
        <v>0</v>
      </c>
      <c r="W56" s="989"/>
      <c r="X56" s="990">
        <f t="shared" si="10"/>
        <v>0</v>
      </c>
      <c r="Y56" s="989"/>
      <c r="Z56" s="990">
        <f t="shared" si="11"/>
        <v>0</v>
      </c>
      <c r="AA56" s="989"/>
      <c r="AB56" s="990">
        <f t="shared" si="12"/>
        <v>0</v>
      </c>
      <c r="AC56" s="989"/>
      <c r="AD56" s="990">
        <f t="shared" si="13"/>
        <v>0</v>
      </c>
      <c r="AE56" s="989"/>
      <c r="AF56" s="990">
        <f t="shared" si="14"/>
        <v>0</v>
      </c>
      <c r="AG56" s="989"/>
      <c r="AH56" s="990">
        <f t="shared" si="15"/>
        <v>0</v>
      </c>
      <c r="AI56" s="989">
        <v>50</v>
      </c>
      <c r="AJ56" s="990">
        <f t="shared" si="16"/>
        <v>50</v>
      </c>
      <c r="AK56" s="989">
        <v>50</v>
      </c>
      <c r="AL56" s="990">
        <f t="shared" si="17"/>
        <v>100</v>
      </c>
      <c r="AM56" s="989"/>
      <c r="AN56" s="990">
        <f t="shared" si="18"/>
        <v>100</v>
      </c>
      <c r="AP56" s="1018"/>
    </row>
    <row r="57" spans="1:42" s="981" customFormat="1" ht="24.6" customHeight="1" thickBot="1">
      <c r="A57" s="985" t="s">
        <v>6</v>
      </c>
      <c r="B57" s="986" t="str">
        <f>'MAQUINARIOS E EQUIPAMENTOS'!G124</f>
        <v xml:space="preserve">ESTRUTURA DE CHEGADA </v>
      </c>
      <c r="C57" s="987">
        <f>'MAQUINARIOS E EQUIPAMENTOS'!P166</f>
        <v>125971.76000000001</v>
      </c>
      <c r="D57" s="988">
        <f t="shared" si="217"/>
        <v>1.07637650054503E-2</v>
      </c>
      <c r="E57" s="989"/>
      <c r="F57" s="990">
        <f t="shared" si="236"/>
        <v>0</v>
      </c>
      <c r="G57" s="989"/>
      <c r="H57" s="990">
        <f t="shared" si="237"/>
        <v>0</v>
      </c>
      <c r="I57" s="989"/>
      <c r="J57" s="990">
        <f t="shared" si="238"/>
        <v>0</v>
      </c>
      <c r="K57" s="989"/>
      <c r="L57" s="990">
        <f t="shared" si="239"/>
        <v>0</v>
      </c>
      <c r="M57" s="989"/>
      <c r="N57" s="990">
        <f t="shared" si="240"/>
        <v>0</v>
      </c>
      <c r="O57" s="989"/>
      <c r="P57" s="990">
        <f t="shared" si="241"/>
        <v>0</v>
      </c>
      <c r="Q57" s="989"/>
      <c r="R57" s="990">
        <f t="shared" si="7"/>
        <v>0</v>
      </c>
      <c r="S57" s="989"/>
      <c r="T57" s="990">
        <f t="shared" si="8"/>
        <v>0</v>
      </c>
      <c r="U57" s="989"/>
      <c r="V57" s="990">
        <f t="shared" si="9"/>
        <v>0</v>
      </c>
      <c r="W57" s="989"/>
      <c r="X57" s="990">
        <f t="shared" si="10"/>
        <v>0</v>
      </c>
      <c r="Y57" s="989">
        <v>55</v>
      </c>
      <c r="Z57" s="990">
        <f t="shared" si="11"/>
        <v>55</v>
      </c>
      <c r="AA57" s="989">
        <v>45</v>
      </c>
      <c r="AB57" s="990">
        <f t="shared" si="12"/>
        <v>100</v>
      </c>
      <c r="AC57" s="989"/>
      <c r="AD57" s="990">
        <f t="shared" si="13"/>
        <v>100</v>
      </c>
      <c r="AE57" s="989"/>
      <c r="AF57" s="990">
        <f t="shared" si="14"/>
        <v>100</v>
      </c>
      <c r="AG57" s="989"/>
      <c r="AH57" s="990">
        <f t="shared" si="15"/>
        <v>100</v>
      </c>
      <c r="AI57" s="989"/>
      <c r="AJ57" s="990">
        <f t="shared" si="16"/>
        <v>100</v>
      </c>
      <c r="AK57" s="989"/>
      <c r="AL57" s="990">
        <f t="shared" si="17"/>
        <v>100</v>
      </c>
      <c r="AM57" s="989"/>
      <c r="AN57" s="990">
        <f t="shared" si="18"/>
        <v>100</v>
      </c>
      <c r="AP57" s="1018"/>
    </row>
    <row r="58" spans="1:42" s="981" customFormat="1" ht="26.25" customHeight="1" thickBot="1">
      <c r="A58" s="985" t="s">
        <v>5</v>
      </c>
      <c r="B58" s="986" t="str">
        <f>'MAQUINARIOS E EQUIPAMENTOS'!G168</f>
        <v>PLATAFORMA METÁLICA ENTRE OS FLOCULADORES E A ESTRUTURA DE CHEGADA</v>
      </c>
      <c r="C58" s="987">
        <f>'MAQUINARIOS E EQUIPAMENTOS'!P178</f>
        <v>2790.62</v>
      </c>
      <c r="D58" s="988">
        <f t="shared" si="217"/>
        <v>2.3844691778149096E-4</v>
      </c>
      <c r="E58" s="989"/>
      <c r="F58" s="990">
        <f t="shared" si="236"/>
        <v>0</v>
      </c>
      <c r="G58" s="989"/>
      <c r="H58" s="990">
        <f t="shared" si="237"/>
        <v>0</v>
      </c>
      <c r="I58" s="989"/>
      <c r="J58" s="990">
        <f t="shared" si="238"/>
        <v>0</v>
      </c>
      <c r="K58" s="989"/>
      <c r="L58" s="990">
        <f t="shared" si="239"/>
        <v>0</v>
      </c>
      <c r="M58" s="989"/>
      <c r="N58" s="990">
        <f t="shared" si="240"/>
        <v>0</v>
      </c>
      <c r="O58" s="989">
        <v>45</v>
      </c>
      <c r="P58" s="990">
        <f t="shared" si="241"/>
        <v>45</v>
      </c>
      <c r="Q58" s="989">
        <v>55</v>
      </c>
      <c r="R58" s="990">
        <f t="shared" si="7"/>
        <v>100</v>
      </c>
      <c r="S58" s="989"/>
      <c r="T58" s="990">
        <f t="shared" si="8"/>
        <v>100</v>
      </c>
      <c r="U58" s="989"/>
      <c r="V58" s="990">
        <f t="shared" si="9"/>
        <v>100</v>
      </c>
      <c r="W58" s="989"/>
      <c r="X58" s="990">
        <f t="shared" si="10"/>
        <v>100</v>
      </c>
      <c r="Y58" s="989"/>
      <c r="Z58" s="990">
        <f t="shared" si="11"/>
        <v>100</v>
      </c>
      <c r="AA58" s="989"/>
      <c r="AB58" s="990">
        <f t="shared" si="12"/>
        <v>100</v>
      </c>
      <c r="AC58" s="989"/>
      <c r="AD58" s="990">
        <f t="shared" si="13"/>
        <v>100</v>
      </c>
      <c r="AE58" s="989"/>
      <c r="AF58" s="990">
        <f t="shared" si="14"/>
        <v>100</v>
      </c>
      <c r="AG58" s="989"/>
      <c r="AH58" s="990">
        <f t="shared" si="15"/>
        <v>100</v>
      </c>
      <c r="AI58" s="989"/>
      <c r="AJ58" s="990">
        <f t="shared" si="16"/>
        <v>100</v>
      </c>
      <c r="AK58" s="989"/>
      <c r="AL58" s="990">
        <f t="shared" si="17"/>
        <v>100</v>
      </c>
      <c r="AM58" s="989"/>
      <c r="AN58" s="990">
        <f t="shared" si="18"/>
        <v>100</v>
      </c>
      <c r="AP58" s="1018"/>
    </row>
    <row r="59" spans="1:42" s="981" customFormat="1" ht="17.25" thickBot="1">
      <c r="A59" s="985" t="s">
        <v>4</v>
      </c>
      <c r="B59" s="986" t="str">
        <f>'MAQUINARIOS E EQUIPAMENTOS'!G180</f>
        <v>MÓDULO DE TRATAMENTO</v>
      </c>
      <c r="C59" s="987">
        <f>'MAQUINARIOS E EQUIPAMENTOS'!P346</f>
        <v>1433074.7200000002</v>
      </c>
      <c r="D59" s="988">
        <f t="shared" si="217"/>
        <v>0.12245029775984306</v>
      </c>
      <c r="E59" s="989"/>
      <c r="F59" s="990">
        <f t="shared" si="236"/>
        <v>0</v>
      </c>
      <c r="G59" s="989"/>
      <c r="H59" s="990">
        <f t="shared" si="237"/>
        <v>0</v>
      </c>
      <c r="I59" s="989"/>
      <c r="J59" s="990">
        <f t="shared" si="238"/>
        <v>0</v>
      </c>
      <c r="K59" s="989"/>
      <c r="L59" s="990">
        <f t="shared" si="239"/>
        <v>0</v>
      </c>
      <c r="M59" s="989"/>
      <c r="N59" s="990">
        <f t="shared" si="240"/>
        <v>0</v>
      </c>
      <c r="O59" s="989">
        <v>45</v>
      </c>
      <c r="P59" s="990">
        <f t="shared" si="241"/>
        <v>45</v>
      </c>
      <c r="Q59" s="989">
        <v>55</v>
      </c>
      <c r="R59" s="990">
        <f t="shared" si="7"/>
        <v>100</v>
      </c>
      <c r="S59" s="989"/>
      <c r="T59" s="990">
        <f t="shared" si="8"/>
        <v>100</v>
      </c>
      <c r="U59" s="989"/>
      <c r="V59" s="990">
        <f t="shared" si="9"/>
        <v>100</v>
      </c>
      <c r="W59" s="989"/>
      <c r="X59" s="990">
        <f t="shared" si="10"/>
        <v>100</v>
      </c>
      <c r="Y59" s="989"/>
      <c r="Z59" s="990">
        <f t="shared" si="11"/>
        <v>100</v>
      </c>
      <c r="AA59" s="989"/>
      <c r="AB59" s="990">
        <f t="shared" si="12"/>
        <v>100</v>
      </c>
      <c r="AC59" s="989"/>
      <c r="AD59" s="990">
        <f t="shared" si="13"/>
        <v>100</v>
      </c>
      <c r="AE59" s="989"/>
      <c r="AF59" s="990">
        <f t="shared" si="14"/>
        <v>100</v>
      </c>
      <c r="AG59" s="989"/>
      <c r="AH59" s="990">
        <f t="shared" si="15"/>
        <v>100</v>
      </c>
      <c r="AI59" s="989"/>
      <c r="AJ59" s="990">
        <f t="shared" si="16"/>
        <v>100</v>
      </c>
      <c r="AK59" s="989"/>
      <c r="AL59" s="990">
        <f t="shared" si="17"/>
        <v>100</v>
      </c>
      <c r="AM59" s="989"/>
      <c r="AN59" s="990">
        <f t="shared" si="18"/>
        <v>100</v>
      </c>
      <c r="AP59" s="1018"/>
    </row>
    <row r="60" spans="1:42" s="981" customFormat="1" ht="27.75" customHeight="1" thickBot="1">
      <c r="A60" s="985" t="s">
        <v>3</v>
      </c>
      <c r="B60" s="986" t="str">
        <f>'MAQUINARIOS E EQUIPAMENTOS'!G348</f>
        <v>INSTALAÇÕES ELÉTRICAS (MÓDULO DE TRATAMENTO)</v>
      </c>
      <c r="C60" s="987">
        <f>'MAQUINARIOS E EQUIPAMENTOS'!P379</f>
        <v>75075.240000000005</v>
      </c>
      <c r="D60" s="988">
        <f t="shared" si="217"/>
        <v>6.4148682298936091E-3</v>
      </c>
      <c r="E60" s="989"/>
      <c r="F60" s="990">
        <f t="shared" si="236"/>
        <v>0</v>
      </c>
      <c r="G60" s="989"/>
      <c r="H60" s="990">
        <f t="shared" si="237"/>
        <v>0</v>
      </c>
      <c r="I60" s="989"/>
      <c r="J60" s="990">
        <f t="shared" si="238"/>
        <v>0</v>
      </c>
      <c r="K60" s="989"/>
      <c r="L60" s="990">
        <f t="shared" si="239"/>
        <v>0</v>
      </c>
      <c r="M60" s="989"/>
      <c r="N60" s="990">
        <f t="shared" si="240"/>
        <v>0</v>
      </c>
      <c r="O60" s="989">
        <v>15</v>
      </c>
      <c r="P60" s="990">
        <f t="shared" si="241"/>
        <v>15</v>
      </c>
      <c r="Q60" s="989">
        <v>25</v>
      </c>
      <c r="R60" s="990">
        <f t="shared" si="7"/>
        <v>40</v>
      </c>
      <c r="S60" s="989">
        <v>10</v>
      </c>
      <c r="T60" s="990">
        <f t="shared" si="8"/>
        <v>50</v>
      </c>
      <c r="U60" s="989">
        <v>15</v>
      </c>
      <c r="V60" s="990">
        <f t="shared" si="9"/>
        <v>65</v>
      </c>
      <c r="W60" s="989">
        <v>35</v>
      </c>
      <c r="X60" s="990">
        <f t="shared" si="10"/>
        <v>100</v>
      </c>
      <c r="Y60" s="989"/>
      <c r="Z60" s="990">
        <f t="shared" si="11"/>
        <v>100</v>
      </c>
      <c r="AA60" s="989"/>
      <c r="AB60" s="990">
        <f t="shared" si="12"/>
        <v>100</v>
      </c>
      <c r="AC60" s="989"/>
      <c r="AD60" s="990">
        <f t="shared" si="13"/>
        <v>100</v>
      </c>
      <c r="AE60" s="989"/>
      <c r="AF60" s="990">
        <f t="shared" si="14"/>
        <v>100</v>
      </c>
      <c r="AG60" s="989"/>
      <c r="AH60" s="990">
        <f t="shared" si="15"/>
        <v>100</v>
      </c>
      <c r="AI60" s="989"/>
      <c r="AJ60" s="990">
        <f t="shared" si="16"/>
        <v>100</v>
      </c>
      <c r="AK60" s="989"/>
      <c r="AL60" s="990">
        <f t="shared" si="17"/>
        <v>100</v>
      </c>
      <c r="AM60" s="989"/>
      <c r="AN60" s="990">
        <f t="shared" si="18"/>
        <v>100</v>
      </c>
      <c r="AP60" s="1018"/>
    </row>
    <row r="61" spans="1:42" s="981" customFormat="1" ht="17.25" thickBot="1">
      <c r="A61" s="985" t="s">
        <v>1</v>
      </c>
      <c r="B61" s="986" t="str">
        <f>'MAQUINARIOS E EQUIPAMENTOS'!G381</f>
        <v>RESERVATÓRIO PULMÃO</v>
      </c>
      <c r="C61" s="987">
        <f>'MAQUINARIOS E EQUIPAMENTOS'!P431</f>
        <v>251929.19999999998</v>
      </c>
      <c r="D61" s="988">
        <f t="shared" si="217"/>
        <v>2.1526306426226712E-2</v>
      </c>
      <c r="E61" s="989"/>
      <c r="F61" s="990">
        <f t="shared" si="236"/>
        <v>0</v>
      </c>
      <c r="G61" s="989"/>
      <c r="H61" s="990">
        <f t="shared" si="237"/>
        <v>0</v>
      </c>
      <c r="I61" s="989"/>
      <c r="J61" s="990">
        <f t="shared" si="238"/>
        <v>0</v>
      </c>
      <c r="K61" s="989"/>
      <c r="L61" s="990">
        <f t="shared" si="239"/>
        <v>0</v>
      </c>
      <c r="M61" s="989"/>
      <c r="N61" s="990">
        <f t="shared" si="240"/>
        <v>0</v>
      </c>
      <c r="O61" s="989"/>
      <c r="P61" s="990">
        <f t="shared" si="241"/>
        <v>0</v>
      </c>
      <c r="Q61" s="989"/>
      <c r="R61" s="990">
        <f t="shared" si="7"/>
        <v>0</v>
      </c>
      <c r="S61" s="989"/>
      <c r="T61" s="990">
        <f t="shared" si="8"/>
        <v>0</v>
      </c>
      <c r="U61" s="989"/>
      <c r="V61" s="990">
        <f t="shared" si="9"/>
        <v>0</v>
      </c>
      <c r="W61" s="989"/>
      <c r="X61" s="990">
        <f t="shared" si="10"/>
        <v>0</v>
      </c>
      <c r="Y61" s="989"/>
      <c r="Z61" s="990">
        <f t="shared" si="11"/>
        <v>0</v>
      </c>
      <c r="AA61" s="989">
        <v>55</v>
      </c>
      <c r="AB61" s="990">
        <f t="shared" si="12"/>
        <v>55</v>
      </c>
      <c r="AC61" s="989">
        <v>45</v>
      </c>
      <c r="AD61" s="990">
        <f t="shared" si="13"/>
        <v>100</v>
      </c>
      <c r="AE61" s="989"/>
      <c r="AF61" s="990">
        <f t="shared" si="14"/>
        <v>100</v>
      </c>
      <c r="AG61" s="989"/>
      <c r="AH61" s="990">
        <f t="shared" si="15"/>
        <v>100</v>
      </c>
      <c r="AI61" s="989"/>
      <c r="AJ61" s="990">
        <f t="shared" si="16"/>
        <v>100</v>
      </c>
      <c r="AK61" s="989"/>
      <c r="AL61" s="990">
        <f t="shared" si="17"/>
        <v>100</v>
      </c>
      <c r="AM61" s="989"/>
      <c r="AN61" s="990">
        <f t="shared" si="18"/>
        <v>100</v>
      </c>
      <c r="AP61" s="1018"/>
    </row>
    <row r="62" spans="1:42" s="981" customFormat="1" ht="36.6" customHeight="1" thickBot="1">
      <c r="A62" s="985" t="s">
        <v>0</v>
      </c>
      <c r="B62" s="986" t="str">
        <f>'MAQUINARIOS E EQUIPAMENTOS'!G433</f>
        <v>INSTALAÇÕES ELÉTRICAS (RESERVATÓRIO PULMÃO)</v>
      </c>
      <c r="C62" s="987">
        <f>'MAQUINARIOS E EQUIPAMENTOS'!P462</f>
        <v>246215.74</v>
      </c>
      <c r="D62" s="988">
        <f t="shared" si="217"/>
        <v>2.1038114939436022E-2</v>
      </c>
      <c r="E62" s="989"/>
      <c r="F62" s="990">
        <f t="shared" si="236"/>
        <v>0</v>
      </c>
      <c r="G62" s="989"/>
      <c r="H62" s="990">
        <f t="shared" si="237"/>
        <v>0</v>
      </c>
      <c r="I62" s="989"/>
      <c r="J62" s="990">
        <f t="shared" si="238"/>
        <v>0</v>
      </c>
      <c r="K62" s="989"/>
      <c r="L62" s="990">
        <f t="shared" si="239"/>
        <v>0</v>
      </c>
      <c r="M62" s="989"/>
      <c r="N62" s="990">
        <f t="shared" si="240"/>
        <v>0</v>
      </c>
      <c r="O62" s="989"/>
      <c r="P62" s="990">
        <f t="shared" si="241"/>
        <v>0</v>
      </c>
      <c r="Q62" s="989"/>
      <c r="R62" s="990">
        <f t="shared" si="7"/>
        <v>0</v>
      </c>
      <c r="S62" s="989"/>
      <c r="T62" s="990">
        <f t="shared" si="8"/>
        <v>0</v>
      </c>
      <c r="U62" s="989"/>
      <c r="V62" s="990">
        <f t="shared" si="9"/>
        <v>0</v>
      </c>
      <c r="W62" s="989"/>
      <c r="X62" s="990">
        <f t="shared" si="10"/>
        <v>0</v>
      </c>
      <c r="Y62" s="989"/>
      <c r="Z62" s="990">
        <f t="shared" si="11"/>
        <v>0</v>
      </c>
      <c r="AA62" s="989"/>
      <c r="AB62" s="990">
        <f t="shared" si="12"/>
        <v>0</v>
      </c>
      <c r="AC62" s="989"/>
      <c r="AD62" s="990">
        <f t="shared" si="13"/>
        <v>0</v>
      </c>
      <c r="AE62" s="989">
        <v>45</v>
      </c>
      <c r="AF62" s="990">
        <f t="shared" si="14"/>
        <v>45</v>
      </c>
      <c r="AG62" s="989">
        <v>55</v>
      </c>
      <c r="AH62" s="990">
        <f t="shared" si="15"/>
        <v>100</v>
      </c>
      <c r="AI62" s="989"/>
      <c r="AJ62" s="990">
        <f t="shared" si="16"/>
        <v>100</v>
      </c>
      <c r="AK62" s="989"/>
      <c r="AL62" s="990">
        <f t="shared" si="17"/>
        <v>100</v>
      </c>
      <c r="AM62" s="989"/>
      <c r="AN62" s="990">
        <f t="shared" si="18"/>
        <v>100</v>
      </c>
      <c r="AP62" s="1018"/>
    </row>
    <row r="63" spans="1:42" s="981" customFormat="1" ht="32.25" customHeight="1" thickBot="1">
      <c r="A63" s="985" t="s">
        <v>2516</v>
      </c>
      <c r="B63" s="986" t="str">
        <f>'MAQUINARIOS E EQUIPAMENTOS'!G464</f>
        <v>ESTAÇÃO ELEVATÓRIA PARA O RESERVATÓRIO ELEVADO DE ÁGUA PARA PROCESSOS DA ETA</v>
      </c>
      <c r="C63" s="987">
        <f>'MAQUINARIOS E EQUIPAMENTOS'!P507</f>
        <v>24553.970000000005</v>
      </c>
      <c r="D63" s="988">
        <f t="shared" si="217"/>
        <v>2.098035012219219E-3</v>
      </c>
      <c r="E63" s="989"/>
      <c r="F63" s="990">
        <f t="shared" si="236"/>
        <v>0</v>
      </c>
      <c r="G63" s="989"/>
      <c r="H63" s="990">
        <f t="shared" si="237"/>
        <v>0</v>
      </c>
      <c r="I63" s="989"/>
      <c r="J63" s="990">
        <f t="shared" si="238"/>
        <v>0</v>
      </c>
      <c r="K63" s="989"/>
      <c r="L63" s="990">
        <f t="shared" si="239"/>
        <v>0</v>
      </c>
      <c r="M63" s="989"/>
      <c r="N63" s="990">
        <f t="shared" si="240"/>
        <v>0</v>
      </c>
      <c r="O63" s="989"/>
      <c r="P63" s="990">
        <f t="shared" si="241"/>
        <v>0</v>
      </c>
      <c r="Q63" s="989"/>
      <c r="R63" s="990">
        <f t="shared" si="7"/>
        <v>0</v>
      </c>
      <c r="S63" s="989"/>
      <c r="T63" s="990">
        <f t="shared" si="8"/>
        <v>0</v>
      </c>
      <c r="U63" s="989"/>
      <c r="V63" s="990">
        <f t="shared" si="9"/>
        <v>0</v>
      </c>
      <c r="W63" s="989"/>
      <c r="X63" s="990">
        <f t="shared" si="10"/>
        <v>0</v>
      </c>
      <c r="Y63" s="989"/>
      <c r="Z63" s="990">
        <f t="shared" si="11"/>
        <v>0</v>
      </c>
      <c r="AA63" s="989"/>
      <c r="AB63" s="990">
        <f t="shared" si="12"/>
        <v>0</v>
      </c>
      <c r="AC63" s="989">
        <v>15</v>
      </c>
      <c r="AD63" s="990">
        <f t="shared" si="13"/>
        <v>15</v>
      </c>
      <c r="AE63" s="989">
        <v>45</v>
      </c>
      <c r="AF63" s="990">
        <f t="shared" si="14"/>
        <v>60</v>
      </c>
      <c r="AG63" s="989">
        <v>40</v>
      </c>
      <c r="AH63" s="990">
        <f t="shared" si="15"/>
        <v>100</v>
      </c>
      <c r="AI63" s="989"/>
      <c r="AJ63" s="990">
        <f t="shared" si="16"/>
        <v>100</v>
      </c>
      <c r="AK63" s="989"/>
      <c r="AL63" s="990">
        <f t="shared" si="17"/>
        <v>100</v>
      </c>
      <c r="AM63" s="989"/>
      <c r="AN63" s="990">
        <f t="shared" si="18"/>
        <v>100</v>
      </c>
      <c r="AP63" s="1018"/>
    </row>
    <row r="64" spans="1:42" s="981" customFormat="1" ht="24" customHeight="1" thickBot="1">
      <c r="A64" s="985" t="s">
        <v>2517</v>
      </c>
      <c r="B64" s="986" t="str">
        <f>'MAQUINARIOS E EQUIPAMENTOS'!G509</f>
        <v>CASA DE QUÍMICA E BACIAS DE CONTENÇÃO</v>
      </c>
      <c r="C64" s="987">
        <f>'MAQUINARIOS E EQUIPAMENTOS'!P638</f>
        <v>128174.73999999995</v>
      </c>
      <c r="D64" s="988">
        <f t="shared" si="217"/>
        <v>1.0952000519756888E-2</v>
      </c>
      <c r="E64" s="989"/>
      <c r="F64" s="990">
        <f t="shared" si="236"/>
        <v>0</v>
      </c>
      <c r="G64" s="989"/>
      <c r="H64" s="990">
        <f t="shared" si="237"/>
        <v>0</v>
      </c>
      <c r="I64" s="989"/>
      <c r="J64" s="990">
        <f t="shared" si="238"/>
        <v>0</v>
      </c>
      <c r="K64" s="989"/>
      <c r="L64" s="990">
        <f t="shared" si="239"/>
        <v>0</v>
      </c>
      <c r="M64" s="989"/>
      <c r="N64" s="990">
        <f t="shared" si="240"/>
        <v>0</v>
      </c>
      <c r="O64" s="989"/>
      <c r="P64" s="990">
        <f t="shared" si="241"/>
        <v>0</v>
      </c>
      <c r="Q64" s="989"/>
      <c r="R64" s="990">
        <f t="shared" si="7"/>
        <v>0</v>
      </c>
      <c r="S64" s="989"/>
      <c r="T64" s="990">
        <f t="shared" si="8"/>
        <v>0</v>
      </c>
      <c r="U64" s="989"/>
      <c r="V64" s="990">
        <f t="shared" si="9"/>
        <v>0</v>
      </c>
      <c r="W64" s="989"/>
      <c r="X64" s="990">
        <f t="shared" si="10"/>
        <v>0</v>
      </c>
      <c r="Y64" s="989"/>
      <c r="Z64" s="990">
        <f t="shared" si="11"/>
        <v>0</v>
      </c>
      <c r="AA64" s="989"/>
      <c r="AB64" s="990">
        <f t="shared" si="12"/>
        <v>0</v>
      </c>
      <c r="AC64" s="989">
        <v>15</v>
      </c>
      <c r="AD64" s="990">
        <f t="shared" si="13"/>
        <v>15</v>
      </c>
      <c r="AE64" s="989">
        <v>45</v>
      </c>
      <c r="AF64" s="990">
        <f t="shared" si="14"/>
        <v>60</v>
      </c>
      <c r="AG64" s="989">
        <v>40</v>
      </c>
      <c r="AH64" s="990">
        <f t="shared" si="15"/>
        <v>100</v>
      </c>
      <c r="AI64" s="989"/>
      <c r="AJ64" s="990">
        <f t="shared" si="16"/>
        <v>100</v>
      </c>
      <c r="AK64" s="989"/>
      <c r="AL64" s="990">
        <f t="shared" si="17"/>
        <v>100</v>
      </c>
      <c r="AM64" s="989"/>
      <c r="AN64" s="990">
        <f t="shared" si="18"/>
        <v>100</v>
      </c>
      <c r="AP64" s="1018"/>
    </row>
    <row r="65" spans="1:42" s="981" customFormat="1" ht="32.25" customHeight="1" thickBot="1">
      <c r="A65" s="985" t="s">
        <v>2518</v>
      </c>
      <c r="B65" s="986" t="str">
        <f>'MAQUINARIOS E EQUIPAMENTOS'!G640</f>
        <v>INSTALAÇÕES ELÉTRICAS (CASA DE QUÍMICA E BACIAS DE CONTENÇÃO)</v>
      </c>
      <c r="C65" s="987">
        <f>'MAQUINARIOS E EQUIPAMENTOS'!P713</f>
        <v>60882.719999999994</v>
      </c>
      <c r="D65" s="988">
        <f t="shared" si="217"/>
        <v>5.2021761938757455E-3</v>
      </c>
      <c r="E65" s="989"/>
      <c r="F65" s="990">
        <f t="shared" si="236"/>
        <v>0</v>
      </c>
      <c r="G65" s="989"/>
      <c r="H65" s="990">
        <f t="shared" si="237"/>
        <v>0</v>
      </c>
      <c r="I65" s="989"/>
      <c r="J65" s="990">
        <f t="shared" si="238"/>
        <v>0</v>
      </c>
      <c r="K65" s="989"/>
      <c r="L65" s="990">
        <f t="shared" si="239"/>
        <v>0</v>
      </c>
      <c r="M65" s="989"/>
      <c r="N65" s="990">
        <f t="shared" si="240"/>
        <v>0</v>
      </c>
      <c r="O65" s="989"/>
      <c r="P65" s="990">
        <f t="shared" si="241"/>
        <v>0</v>
      </c>
      <c r="Q65" s="989"/>
      <c r="R65" s="990">
        <f t="shared" si="7"/>
        <v>0</v>
      </c>
      <c r="S65" s="989"/>
      <c r="T65" s="990">
        <f t="shared" si="8"/>
        <v>0</v>
      </c>
      <c r="U65" s="989"/>
      <c r="V65" s="990">
        <f t="shared" si="9"/>
        <v>0</v>
      </c>
      <c r="W65" s="989"/>
      <c r="X65" s="990">
        <f t="shared" si="10"/>
        <v>0</v>
      </c>
      <c r="Y65" s="989"/>
      <c r="Z65" s="990">
        <f t="shared" si="11"/>
        <v>0</v>
      </c>
      <c r="AA65" s="989"/>
      <c r="AB65" s="990">
        <f t="shared" si="12"/>
        <v>0</v>
      </c>
      <c r="AC65" s="989"/>
      <c r="AD65" s="990">
        <f t="shared" si="13"/>
        <v>0</v>
      </c>
      <c r="AE65" s="989">
        <v>40</v>
      </c>
      <c r="AF65" s="990">
        <f t="shared" si="14"/>
        <v>40</v>
      </c>
      <c r="AG65" s="989">
        <v>60</v>
      </c>
      <c r="AH65" s="990">
        <f t="shared" si="15"/>
        <v>100</v>
      </c>
      <c r="AI65" s="989"/>
      <c r="AJ65" s="990">
        <f t="shared" si="16"/>
        <v>100</v>
      </c>
      <c r="AK65" s="989"/>
      <c r="AL65" s="990">
        <f t="shared" si="17"/>
        <v>100</v>
      </c>
      <c r="AM65" s="989"/>
      <c r="AN65" s="990">
        <f t="shared" si="18"/>
        <v>100</v>
      </c>
      <c r="AP65" s="1018"/>
    </row>
    <row r="66" spans="1:42" s="981" customFormat="1" ht="17.25" thickBot="1">
      <c r="A66" s="985" t="s">
        <v>2519</v>
      </c>
      <c r="B66" s="986" t="str">
        <f>'MAQUINARIOS E EQUIPAMENTOS'!G715</f>
        <v>DESINFECÇÃO POR GÁS CLORO</v>
      </c>
      <c r="C66" s="987">
        <f>'MAQUINARIOS E EQUIPAMENTOS'!P747</f>
        <v>510544.48</v>
      </c>
      <c r="D66" s="988">
        <f t="shared" si="217"/>
        <v>4.362391068879104E-2</v>
      </c>
      <c r="E66" s="989"/>
      <c r="F66" s="990">
        <f t="shared" si="236"/>
        <v>0</v>
      </c>
      <c r="G66" s="989"/>
      <c r="H66" s="990">
        <f t="shared" si="237"/>
        <v>0</v>
      </c>
      <c r="I66" s="989"/>
      <c r="J66" s="990">
        <f t="shared" si="238"/>
        <v>0</v>
      </c>
      <c r="K66" s="989"/>
      <c r="L66" s="990">
        <f t="shared" si="239"/>
        <v>0</v>
      </c>
      <c r="M66" s="989"/>
      <c r="N66" s="990">
        <f t="shared" si="240"/>
        <v>0</v>
      </c>
      <c r="O66" s="989"/>
      <c r="P66" s="990">
        <f t="shared" si="241"/>
        <v>0</v>
      </c>
      <c r="Q66" s="989"/>
      <c r="R66" s="990">
        <f t="shared" si="7"/>
        <v>0</v>
      </c>
      <c r="S66" s="989"/>
      <c r="T66" s="990">
        <f t="shared" si="8"/>
        <v>0</v>
      </c>
      <c r="U66" s="989"/>
      <c r="V66" s="990">
        <f t="shared" si="9"/>
        <v>0</v>
      </c>
      <c r="W66" s="989"/>
      <c r="X66" s="990">
        <f t="shared" si="10"/>
        <v>0</v>
      </c>
      <c r="Y66" s="989"/>
      <c r="Z66" s="990">
        <f t="shared" si="11"/>
        <v>0</v>
      </c>
      <c r="AA66" s="989"/>
      <c r="AB66" s="990">
        <f t="shared" si="12"/>
        <v>0</v>
      </c>
      <c r="AC66" s="989"/>
      <c r="AD66" s="990">
        <f t="shared" si="13"/>
        <v>0</v>
      </c>
      <c r="AE66" s="989">
        <v>15</v>
      </c>
      <c r="AF66" s="990">
        <f t="shared" si="14"/>
        <v>15</v>
      </c>
      <c r="AG66" s="989">
        <v>55</v>
      </c>
      <c r="AH66" s="990">
        <f t="shared" si="15"/>
        <v>70</v>
      </c>
      <c r="AI66" s="989">
        <v>30</v>
      </c>
      <c r="AJ66" s="990">
        <f t="shared" si="16"/>
        <v>100</v>
      </c>
      <c r="AK66" s="989"/>
      <c r="AL66" s="990">
        <f t="shared" si="17"/>
        <v>100</v>
      </c>
      <c r="AM66" s="989"/>
      <c r="AN66" s="990">
        <f t="shared" si="18"/>
        <v>100</v>
      </c>
      <c r="AP66" s="1018"/>
    </row>
    <row r="67" spans="1:42" s="981" customFormat="1" ht="27.75" customHeight="1" thickBot="1">
      <c r="A67" s="985" t="s">
        <v>2520</v>
      </c>
      <c r="B67" s="986" t="str">
        <f>'MAQUINARIOS E EQUIPAMENTOS'!G749</f>
        <v>ESTAÇÃO ELEVATÓRIA PARA ÁGUA DE RECIRCULAÇÃO DOS EJETORES</v>
      </c>
      <c r="C67" s="987">
        <f>'MAQUINARIOS E EQUIPAMENTOS'!P793</f>
        <v>26752.030000000006</v>
      </c>
      <c r="D67" s="988">
        <f t="shared" si="217"/>
        <v>2.2858501329088093E-3</v>
      </c>
      <c r="E67" s="989"/>
      <c r="F67" s="990">
        <f t="shared" si="236"/>
        <v>0</v>
      </c>
      <c r="G67" s="989"/>
      <c r="H67" s="990">
        <f t="shared" si="237"/>
        <v>0</v>
      </c>
      <c r="I67" s="989"/>
      <c r="J67" s="990">
        <f t="shared" si="238"/>
        <v>0</v>
      </c>
      <c r="K67" s="989"/>
      <c r="L67" s="990">
        <f t="shared" si="239"/>
        <v>0</v>
      </c>
      <c r="M67" s="989"/>
      <c r="N67" s="990">
        <f t="shared" si="240"/>
        <v>0</v>
      </c>
      <c r="O67" s="989"/>
      <c r="P67" s="990">
        <f t="shared" si="241"/>
        <v>0</v>
      </c>
      <c r="Q67" s="989"/>
      <c r="R67" s="990">
        <f t="shared" si="7"/>
        <v>0</v>
      </c>
      <c r="S67" s="989"/>
      <c r="T67" s="990">
        <f t="shared" si="8"/>
        <v>0</v>
      </c>
      <c r="U67" s="989"/>
      <c r="V67" s="990">
        <f t="shared" si="9"/>
        <v>0</v>
      </c>
      <c r="W67" s="989"/>
      <c r="X67" s="990">
        <f t="shared" si="10"/>
        <v>0</v>
      </c>
      <c r="Y67" s="989"/>
      <c r="Z67" s="990">
        <f t="shared" si="11"/>
        <v>0</v>
      </c>
      <c r="AA67" s="989"/>
      <c r="AB67" s="990">
        <f t="shared" si="12"/>
        <v>0</v>
      </c>
      <c r="AC67" s="989"/>
      <c r="AD67" s="990">
        <f t="shared" si="13"/>
        <v>0</v>
      </c>
      <c r="AE67" s="989">
        <v>15</v>
      </c>
      <c r="AF67" s="990">
        <f t="shared" si="14"/>
        <v>15</v>
      </c>
      <c r="AG67" s="989">
        <v>55</v>
      </c>
      <c r="AH67" s="990">
        <f t="shared" si="15"/>
        <v>70</v>
      </c>
      <c r="AI67" s="989">
        <v>30</v>
      </c>
      <c r="AJ67" s="990">
        <f t="shared" si="16"/>
        <v>100</v>
      </c>
      <c r="AK67" s="989"/>
      <c r="AL67" s="990">
        <f t="shared" si="17"/>
        <v>100</v>
      </c>
      <c r="AM67" s="989"/>
      <c r="AN67" s="990">
        <f t="shared" si="18"/>
        <v>100</v>
      </c>
      <c r="AP67" s="1018"/>
    </row>
    <row r="68" spans="1:42" s="981" customFormat="1" ht="24.75" customHeight="1" thickBot="1">
      <c r="A68" s="985" t="s">
        <v>2521</v>
      </c>
      <c r="B68" s="986" t="str">
        <f>'MAQUINARIOS E EQUIPAMENTOS'!G795</f>
        <v>INSTALAÇÕES ELÉTRICAS (DESINFECÇÃO POR GÁS CLORO)</v>
      </c>
      <c r="C68" s="987">
        <f>'MAQUINARIOS E EQUIPAMENTOS'!P840</f>
        <v>12786.589999999998</v>
      </c>
      <c r="D68" s="988">
        <f t="shared" si="217"/>
        <v>1.0925611421245581E-3</v>
      </c>
      <c r="E68" s="989"/>
      <c r="F68" s="990">
        <f t="shared" si="236"/>
        <v>0</v>
      </c>
      <c r="G68" s="989"/>
      <c r="H68" s="990">
        <f t="shared" si="237"/>
        <v>0</v>
      </c>
      <c r="I68" s="989"/>
      <c r="J68" s="990">
        <f t="shared" si="238"/>
        <v>0</v>
      </c>
      <c r="K68" s="989"/>
      <c r="L68" s="990">
        <f t="shared" si="239"/>
        <v>0</v>
      </c>
      <c r="M68" s="989"/>
      <c r="N68" s="990">
        <f t="shared" si="240"/>
        <v>0</v>
      </c>
      <c r="O68" s="989"/>
      <c r="P68" s="990">
        <f t="shared" si="241"/>
        <v>0</v>
      </c>
      <c r="Q68" s="989"/>
      <c r="R68" s="990">
        <f t="shared" si="7"/>
        <v>0</v>
      </c>
      <c r="S68" s="989"/>
      <c r="T68" s="990">
        <f t="shared" si="8"/>
        <v>0</v>
      </c>
      <c r="U68" s="989"/>
      <c r="V68" s="990">
        <f t="shared" si="9"/>
        <v>0</v>
      </c>
      <c r="W68" s="989"/>
      <c r="X68" s="990">
        <f t="shared" si="10"/>
        <v>0</v>
      </c>
      <c r="Y68" s="989"/>
      <c r="Z68" s="990">
        <f t="shared" si="11"/>
        <v>0</v>
      </c>
      <c r="AA68" s="989"/>
      <c r="AB68" s="990">
        <f t="shared" si="12"/>
        <v>0</v>
      </c>
      <c r="AC68" s="989"/>
      <c r="AD68" s="990">
        <f t="shared" si="13"/>
        <v>0</v>
      </c>
      <c r="AE68" s="989">
        <v>15</v>
      </c>
      <c r="AF68" s="990">
        <f t="shared" si="14"/>
        <v>15</v>
      </c>
      <c r="AG68" s="989">
        <v>55</v>
      </c>
      <c r="AH68" s="990">
        <f t="shared" si="15"/>
        <v>70</v>
      </c>
      <c r="AI68" s="989">
        <v>30</v>
      </c>
      <c r="AJ68" s="990">
        <f t="shared" si="16"/>
        <v>100</v>
      </c>
      <c r="AK68" s="989"/>
      <c r="AL68" s="990">
        <f t="shared" si="17"/>
        <v>100</v>
      </c>
      <c r="AM68" s="989"/>
      <c r="AN68" s="990">
        <f t="shared" si="18"/>
        <v>100</v>
      </c>
      <c r="AP68" s="1018"/>
    </row>
    <row r="69" spans="1:42" s="981" customFormat="1" ht="29.25" customHeight="1" thickBot="1">
      <c r="A69" s="985" t="s">
        <v>2522</v>
      </c>
      <c r="B69" s="986" t="str">
        <f>'MAQUINARIOS E EQUIPAMENTOS'!G842</f>
        <v>RESERVATÓRIO ELEVADO DE ÁGUA DE PROCESSOS (50M³)</v>
      </c>
      <c r="C69" s="987">
        <f>'MAQUINARIOS E EQUIPAMENTOS'!P879</f>
        <v>40439.25</v>
      </c>
      <c r="D69" s="988">
        <f t="shared" si="217"/>
        <v>3.4553663773266006E-3</v>
      </c>
      <c r="E69" s="989"/>
      <c r="F69" s="990">
        <f t="shared" si="236"/>
        <v>0</v>
      </c>
      <c r="G69" s="989"/>
      <c r="H69" s="990">
        <f t="shared" si="237"/>
        <v>0</v>
      </c>
      <c r="I69" s="989"/>
      <c r="J69" s="990">
        <f t="shared" si="238"/>
        <v>0</v>
      </c>
      <c r="K69" s="989"/>
      <c r="L69" s="990">
        <f t="shared" si="239"/>
        <v>0</v>
      </c>
      <c r="M69" s="989"/>
      <c r="N69" s="990">
        <f t="shared" si="240"/>
        <v>0</v>
      </c>
      <c r="O69" s="989"/>
      <c r="P69" s="990">
        <f t="shared" si="241"/>
        <v>0</v>
      </c>
      <c r="Q69" s="989"/>
      <c r="R69" s="990">
        <f t="shared" si="7"/>
        <v>0</v>
      </c>
      <c r="S69" s="989">
        <v>15</v>
      </c>
      <c r="T69" s="990">
        <f t="shared" si="8"/>
        <v>15</v>
      </c>
      <c r="U69" s="989">
        <v>20</v>
      </c>
      <c r="V69" s="990">
        <f t="shared" si="9"/>
        <v>35</v>
      </c>
      <c r="W69" s="989">
        <v>30</v>
      </c>
      <c r="X69" s="990">
        <f t="shared" si="10"/>
        <v>65</v>
      </c>
      <c r="Y69" s="989">
        <v>20</v>
      </c>
      <c r="Z69" s="990">
        <f t="shared" si="11"/>
        <v>85</v>
      </c>
      <c r="AA69" s="989">
        <v>15</v>
      </c>
      <c r="AB69" s="990">
        <f t="shared" si="12"/>
        <v>100</v>
      </c>
      <c r="AC69" s="989"/>
      <c r="AD69" s="990">
        <f t="shared" si="13"/>
        <v>100</v>
      </c>
      <c r="AE69" s="989"/>
      <c r="AF69" s="990">
        <f t="shared" si="14"/>
        <v>100</v>
      </c>
      <c r="AG69" s="989"/>
      <c r="AH69" s="990">
        <f t="shared" si="15"/>
        <v>100</v>
      </c>
      <c r="AI69" s="989"/>
      <c r="AJ69" s="990">
        <f t="shared" si="16"/>
        <v>100</v>
      </c>
      <c r="AK69" s="989"/>
      <c r="AL69" s="990">
        <f t="shared" si="17"/>
        <v>100</v>
      </c>
      <c r="AM69" s="989"/>
      <c r="AN69" s="990">
        <f t="shared" si="18"/>
        <v>100</v>
      </c>
      <c r="AP69" s="1018"/>
    </row>
    <row r="70" spans="1:42" s="981" customFormat="1" ht="36.6" customHeight="1" thickBot="1">
      <c r="A70" s="985" t="s">
        <v>2523</v>
      </c>
      <c r="B70" s="986" t="str">
        <f>'MAQUINARIOS E EQUIPAMENTOS'!G921</f>
        <v>RECUPERAÇÃO DAS DESCARGAS DA ETA</v>
      </c>
      <c r="C70" s="987">
        <f>'MAQUINARIOS E EQUIPAMENTOS'!P919</f>
        <v>8009.260000000002</v>
      </c>
      <c r="D70" s="988">
        <f t="shared" si="217"/>
        <v>6.8435808555467417E-4</v>
      </c>
      <c r="E70" s="989"/>
      <c r="F70" s="990">
        <f t="shared" si="236"/>
        <v>0</v>
      </c>
      <c r="G70" s="989"/>
      <c r="H70" s="990">
        <f t="shared" si="237"/>
        <v>0</v>
      </c>
      <c r="I70" s="989"/>
      <c r="J70" s="990">
        <f t="shared" si="238"/>
        <v>0</v>
      </c>
      <c r="K70" s="989"/>
      <c r="L70" s="990">
        <f t="shared" si="239"/>
        <v>0</v>
      </c>
      <c r="M70" s="989"/>
      <c r="N70" s="990">
        <f t="shared" si="240"/>
        <v>0</v>
      </c>
      <c r="O70" s="989"/>
      <c r="P70" s="990">
        <f t="shared" si="241"/>
        <v>0</v>
      </c>
      <c r="Q70" s="989"/>
      <c r="R70" s="990">
        <f t="shared" si="7"/>
        <v>0</v>
      </c>
      <c r="S70" s="989"/>
      <c r="T70" s="990">
        <f t="shared" si="8"/>
        <v>0</v>
      </c>
      <c r="U70" s="989"/>
      <c r="V70" s="990">
        <f t="shared" si="9"/>
        <v>0</v>
      </c>
      <c r="W70" s="989"/>
      <c r="X70" s="990">
        <f t="shared" si="10"/>
        <v>0</v>
      </c>
      <c r="Y70" s="989"/>
      <c r="Z70" s="990">
        <f t="shared" si="11"/>
        <v>0</v>
      </c>
      <c r="AA70" s="989"/>
      <c r="AB70" s="990">
        <f t="shared" si="12"/>
        <v>0</v>
      </c>
      <c r="AC70" s="989"/>
      <c r="AD70" s="990">
        <f t="shared" si="13"/>
        <v>0</v>
      </c>
      <c r="AE70" s="989"/>
      <c r="AF70" s="990">
        <f t="shared" si="14"/>
        <v>0</v>
      </c>
      <c r="AG70" s="989"/>
      <c r="AH70" s="990">
        <f t="shared" si="15"/>
        <v>0</v>
      </c>
      <c r="AI70" s="989"/>
      <c r="AJ70" s="990">
        <f t="shared" si="16"/>
        <v>0</v>
      </c>
      <c r="AK70" s="989">
        <v>75</v>
      </c>
      <c r="AL70" s="990">
        <f t="shared" si="17"/>
        <v>75</v>
      </c>
      <c r="AM70" s="989">
        <v>25</v>
      </c>
      <c r="AN70" s="990">
        <f t="shared" si="18"/>
        <v>100</v>
      </c>
      <c r="AP70" s="1018"/>
    </row>
    <row r="71" spans="1:42" s="981" customFormat="1" ht="32.25" customHeight="1" thickBot="1">
      <c r="A71" s="985" t="s">
        <v>2524</v>
      </c>
      <c r="B71" s="986" t="str">
        <f>'MAQUINARIOS E EQUIPAMENTOS'!G921</f>
        <v>RECUPERAÇÃO DAS DESCARGAS DA ETA</v>
      </c>
      <c r="C71" s="987">
        <f>'MAQUINARIOS E EQUIPAMENTOS'!P987</f>
        <v>133215.88</v>
      </c>
      <c r="D71" s="988">
        <f t="shared" si="217"/>
        <v>1.1382745047892212E-2</v>
      </c>
      <c r="E71" s="989"/>
      <c r="F71" s="990">
        <f t="shared" si="236"/>
        <v>0</v>
      </c>
      <c r="G71" s="989"/>
      <c r="H71" s="990">
        <f t="shared" si="237"/>
        <v>0</v>
      </c>
      <c r="I71" s="989"/>
      <c r="J71" s="990">
        <f t="shared" si="238"/>
        <v>0</v>
      </c>
      <c r="K71" s="989"/>
      <c r="L71" s="990">
        <f t="shared" si="239"/>
        <v>0</v>
      </c>
      <c r="M71" s="989"/>
      <c r="N71" s="990">
        <f t="shared" si="240"/>
        <v>0</v>
      </c>
      <c r="O71" s="989"/>
      <c r="P71" s="990">
        <f t="shared" si="241"/>
        <v>0</v>
      </c>
      <c r="Q71" s="989"/>
      <c r="R71" s="990">
        <f t="shared" si="7"/>
        <v>0</v>
      </c>
      <c r="S71" s="989"/>
      <c r="T71" s="990">
        <f t="shared" si="8"/>
        <v>0</v>
      </c>
      <c r="U71" s="989"/>
      <c r="V71" s="990">
        <f t="shared" si="9"/>
        <v>0</v>
      </c>
      <c r="W71" s="989"/>
      <c r="X71" s="990">
        <f t="shared" si="10"/>
        <v>0</v>
      </c>
      <c r="Y71" s="989"/>
      <c r="Z71" s="990">
        <f t="shared" si="11"/>
        <v>0</v>
      </c>
      <c r="AA71" s="989"/>
      <c r="AB71" s="990">
        <f t="shared" si="12"/>
        <v>0</v>
      </c>
      <c r="AC71" s="989"/>
      <c r="AD71" s="990">
        <f t="shared" si="13"/>
        <v>0</v>
      </c>
      <c r="AE71" s="989"/>
      <c r="AF71" s="990">
        <f t="shared" si="14"/>
        <v>0</v>
      </c>
      <c r="AG71" s="989"/>
      <c r="AH71" s="990">
        <f t="shared" si="15"/>
        <v>0</v>
      </c>
      <c r="AI71" s="989">
        <v>25</v>
      </c>
      <c r="AJ71" s="990">
        <f t="shared" si="16"/>
        <v>25</v>
      </c>
      <c r="AK71" s="989">
        <v>75</v>
      </c>
      <c r="AL71" s="990">
        <f t="shared" si="17"/>
        <v>100</v>
      </c>
      <c r="AM71" s="989"/>
      <c r="AN71" s="990">
        <f t="shared" si="18"/>
        <v>100</v>
      </c>
      <c r="AP71" s="1018"/>
    </row>
    <row r="72" spans="1:42" s="981" customFormat="1" ht="17.25" thickBot="1">
      <c r="A72" s="985" t="s">
        <v>2525</v>
      </c>
      <c r="B72" s="986" t="str">
        <f>'MAQUINARIOS E EQUIPAMENTOS'!G989</f>
        <v>ESTAÇÃO ELEVATÓRIA DE RECIRCULAÇÃO</v>
      </c>
      <c r="C72" s="987">
        <f>'MAQUINARIOS E EQUIPAMENTOS'!P1033</f>
        <v>91143.469999999972</v>
      </c>
      <c r="D72" s="988">
        <f t="shared" si="217"/>
        <v>7.7878319145601267E-3</v>
      </c>
      <c r="E72" s="989"/>
      <c r="F72" s="990">
        <f t="shared" si="236"/>
        <v>0</v>
      </c>
      <c r="G72" s="989"/>
      <c r="H72" s="990">
        <f t="shared" si="237"/>
        <v>0</v>
      </c>
      <c r="I72" s="989"/>
      <c r="J72" s="990">
        <f t="shared" si="238"/>
        <v>0</v>
      </c>
      <c r="K72" s="989"/>
      <c r="L72" s="990">
        <f t="shared" si="239"/>
        <v>0</v>
      </c>
      <c r="M72" s="989"/>
      <c r="N72" s="990">
        <f t="shared" si="240"/>
        <v>0</v>
      </c>
      <c r="O72" s="989"/>
      <c r="P72" s="990">
        <f t="shared" si="241"/>
        <v>0</v>
      </c>
      <c r="Q72" s="989"/>
      <c r="R72" s="990">
        <f t="shared" si="7"/>
        <v>0</v>
      </c>
      <c r="S72" s="989"/>
      <c r="T72" s="990">
        <f t="shared" si="8"/>
        <v>0</v>
      </c>
      <c r="U72" s="989"/>
      <c r="V72" s="990">
        <f t="shared" si="9"/>
        <v>0</v>
      </c>
      <c r="W72" s="989"/>
      <c r="X72" s="990">
        <f t="shared" si="10"/>
        <v>0</v>
      </c>
      <c r="Y72" s="989"/>
      <c r="Z72" s="990">
        <f t="shared" si="11"/>
        <v>0</v>
      </c>
      <c r="AA72" s="989"/>
      <c r="AB72" s="990">
        <f t="shared" si="12"/>
        <v>0</v>
      </c>
      <c r="AC72" s="989"/>
      <c r="AD72" s="990">
        <f t="shared" si="13"/>
        <v>0</v>
      </c>
      <c r="AE72" s="989"/>
      <c r="AF72" s="990">
        <f t="shared" si="14"/>
        <v>0</v>
      </c>
      <c r="AG72" s="989">
        <v>35</v>
      </c>
      <c r="AH72" s="990">
        <f t="shared" si="15"/>
        <v>35</v>
      </c>
      <c r="AI72" s="989">
        <v>30</v>
      </c>
      <c r="AJ72" s="990">
        <f t="shared" si="16"/>
        <v>65</v>
      </c>
      <c r="AK72" s="989">
        <v>35</v>
      </c>
      <c r="AL72" s="990">
        <f t="shared" si="17"/>
        <v>100</v>
      </c>
      <c r="AM72" s="989"/>
      <c r="AN72" s="990">
        <f t="shared" si="18"/>
        <v>100</v>
      </c>
      <c r="AP72" s="1018"/>
    </row>
    <row r="73" spans="1:42" s="981" customFormat="1" ht="33" customHeight="1" thickBot="1">
      <c r="A73" s="985" t="s">
        <v>2526</v>
      </c>
      <c r="B73" s="986" t="str">
        <f>'MAQUINARIOS E EQUIPAMENTOS'!G1035</f>
        <v>INSTALAÇÕES ELÉTRICAS EE DE RECIRCULAÇÃO (ESTAÇÃO ELEVATÓRIA DE RECIRCULAÇÃO)</v>
      </c>
      <c r="C73" s="987">
        <f>'MAQUINARIOS E EQUIPAMENTOS'!P1083</f>
        <v>220889.55000000002</v>
      </c>
      <c r="D73" s="988">
        <f t="shared" si="217"/>
        <v>1.8874096927435673E-2</v>
      </c>
      <c r="E73" s="989"/>
      <c r="F73" s="990">
        <f t="shared" si="236"/>
        <v>0</v>
      </c>
      <c r="G73" s="989"/>
      <c r="H73" s="990">
        <f t="shared" si="237"/>
        <v>0</v>
      </c>
      <c r="I73" s="989"/>
      <c r="J73" s="990">
        <f t="shared" si="238"/>
        <v>0</v>
      </c>
      <c r="K73" s="989"/>
      <c r="L73" s="990">
        <f t="shared" si="239"/>
        <v>0</v>
      </c>
      <c r="M73" s="989"/>
      <c r="N73" s="990">
        <f t="shared" si="240"/>
        <v>0</v>
      </c>
      <c r="O73" s="989"/>
      <c r="P73" s="990">
        <f t="shared" si="241"/>
        <v>0</v>
      </c>
      <c r="Q73" s="989"/>
      <c r="R73" s="990">
        <f t="shared" si="7"/>
        <v>0</v>
      </c>
      <c r="S73" s="989"/>
      <c r="T73" s="990">
        <f t="shared" si="8"/>
        <v>0</v>
      </c>
      <c r="U73" s="989"/>
      <c r="V73" s="990">
        <f t="shared" si="9"/>
        <v>0</v>
      </c>
      <c r="W73" s="989"/>
      <c r="X73" s="990">
        <f t="shared" si="10"/>
        <v>0</v>
      </c>
      <c r="Y73" s="989"/>
      <c r="Z73" s="990">
        <f t="shared" si="11"/>
        <v>0</v>
      </c>
      <c r="AA73" s="989"/>
      <c r="AB73" s="990">
        <f t="shared" si="12"/>
        <v>0</v>
      </c>
      <c r="AC73" s="989"/>
      <c r="AD73" s="990">
        <f t="shared" si="13"/>
        <v>0</v>
      </c>
      <c r="AE73" s="989"/>
      <c r="AF73" s="990">
        <f t="shared" si="14"/>
        <v>0</v>
      </c>
      <c r="AG73" s="989">
        <v>100</v>
      </c>
      <c r="AH73" s="990">
        <f t="shared" si="15"/>
        <v>100</v>
      </c>
      <c r="AI73" s="989"/>
      <c r="AJ73" s="990">
        <f t="shared" si="16"/>
        <v>100</v>
      </c>
      <c r="AK73" s="989"/>
      <c r="AL73" s="990">
        <f t="shared" si="17"/>
        <v>100</v>
      </c>
      <c r="AM73" s="989"/>
      <c r="AN73" s="990">
        <f t="shared" si="18"/>
        <v>100</v>
      </c>
      <c r="AP73" s="1018"/>
    </row>
    <row r="74" spans="1:42" s="981" customFormat="1" ht="32.450000000000003" customHeight="1" thickBot="1">
      <c r="A74" s="985" t="s">
        <v>2527</v>
      </c>
      <c r="B74" s="986" t="str">
        <f>'MAQUINARIOS E EQUIPAMENTOS'!G1085</f>
        <v xml:space="preserve">ESTAÇÃO ELEVATÓRIA DE LODO </v>
      </c>
      <c r="C74" s="987">
        <f>'MAQUINARIOS E EQUIPAMENTOS'!P1133</f>
        <v>37467.270000000011</v>
      </c>
      <c r="D74" s="988">
        <f t="shared" si="217"/>
        <v>3.2014229988987842E-3</v>
      </c>
      <c r="E74" s="989"/>
      <c r="F74" s="990">
        <f t="shared" si="236"/>
        <v>0</v>
      </c>
      <c r="G74" s="989"/>
      <c r="H74" s="990">
        <f t="shared" si="237"/>
        <v>0</v>
      </c>
      <c r="I74" s="989"/>
      <c r="J74" s="990">
        <f t="shared" si="238"/>
        <v>0</v>
      </c>
      <c r="K74" s="989"/>
      <c r="L74" s="990">
        <f t="shared" si="239"/>
        <v>0</v>
      </c>
      <c r="M74" s="989"/>
      <c r="N74" s="990">
        <f t="shared" si="240"/>
        <v>0</v>
      </c>
      <c r="O74" s="989"/>
      <c r="P74" s="990">
        <f t="shared" si="241"/>
        <v>0</v>
      </c>
      <c r="Q74" s="989"/>
      <c r="R74" s="990">
        <f t="shared" si="7"/>
        <v>0</v>
      </c>
      <c r="S74" s="989"/>
      <c r="T74" s="990">
        <f t="shared" si="8"/>
        <v>0</v>
      </c>
      <c r="U74" s="989"/>
      <c r="V74" s="990">
        <f t="shared" si="9"/>
        <v>0</v>
      </c>
      <c r="W74" s="989"/>
      <c r="X74" s="990">
        <f t="shared" si="10"/>
        <v>0</v>
      </c>
      <c r="Y74" s="989">
        <v>35</v>
      </c>
      <c r="Z74" s="990">
        <f t="shared" si="11"/>
        <v>35</v>
      </c>
      <c r="AA74" s="989">
        <v>50</v>
      </c>
      <c r="AB74" s="990">
        <f t="shared" si="12"/>
        <v>85</v>
      </c>
      <c r="AC74" s="989">
        <v>15</v>
      </c>
      <c r="AD74" s="990">
        <f t="shared" si="13"/>
        <v>100</v>
      </c>
      <c r="AE74" s="989"/>
      <c r="AF74" s="990">
        <f t="shared" si="14"/>
        <v>100</v>
      </c>
      <c r="AG74" s="989"/>
      <c r="AH74" s="990">
        <f t="shared" si="15"/>
        <v>100</v>
      </c>
      <c r="AI74" s="989"/>
      <c r="AJ74" s="990">
        <f t="shared" si="16"/>
        <v>100</v>
      </c>
      <c r="AK74" s="989"/>
      <c r="AL74" s="990">
        <f t="shared" si="17"/>
        <v>100</v>
      </c>
      <c r="AM74" s="989"/>
      <c r="AN74" s="990">
        <f t="shared" si="18"/>
        <v>100</v>
      </c>
      <c r="AP74" s="1018"/>
    </row>
    <row r="75" spans="1:42" s="981" customFormat="1" ht="32.450000000000003" customHeight="1" thickBot="1">
      <c r="A75" s="985" t="s">
        <v>2528</v>
      </c>
      <c r="B75" s="986" t="str">
        <f>'MAQUINARIOS E EQUIPAMENTOS'!G1135</f>
        <v>INSTALAÇÕES ELÉTRICAS DA EE DO LODO (ESTAÇÃO ELEVATÓRIA DE LODO)</v>
      </c>
      <c r="C75" s="987">
        <f>'MAQUINARIOS E EQUIPAMENTOS'!P1171</f>
        <v>8667.7099999999991</v>
      </c>
      <c r="D75" s="988">
        <f t="shared" si="217"/>
        <v>7.4061991017186385E-4</v>
      </c>
      <c r="E75" s="989"/>
      <c r="F75" s="990">
        <f t="shared" ref="F75:F84" si="242">E75</f>
        <v>0</v>
      </c>
      <c r="G75" s="989"/>
      <c r="H75" s="990">
        <f t="shared" ref="H75:H84" si="243">F75+G75</f>
        <v>0</v>
      </c>
      <c r="I75" s="989"/>
      <c r="J75" s="990">
        <f t="shared" ref="J75:J84" si="244">H75+I75</f>
        <v>0</v>
      </c>
      <c r="K75" s="989"/>
      <c r="L75" s="990">
        <f t="shared" ref="L75:L84" si="245">J75+K75</f>
        <v>0</v>
      </c>
      <c r="M75" s="989"/>
      <c r="N75" s="990">
        <f t="shared" ref="N75:N84" si="246">L75+M75</f>
        <v>0</v>
      </c>
      <c r="O75" s="989"/>
      <c r="P75" s="990">
        <f t="shared" ref="P75:P84" si="247">N75+O75</f>
        <v>0</v>
      </c>
      <c r="Q75" s="989"/>
      <c r="R75" s="990">
        <f t="shared" ref="R75:R84" si="248">P75+Q75</f>
        <v>0</v>
      </c>
      <c r="S75" s="989"/>
      <c r="T75" s="990">
        <f t="shared" ref="T75:T84" si="249">R75+S75</f>
        <v>0</v>
      </c>
      <c r="U75" s="989"/>
      <c r="V75" s="990">
        <f t="shared" ref="V75:V84" si="250">T75+U75</f>
        <v>0</v>
      </c>
      <c r="W75" s="989"/>
      <c r="X75" s="990">
        <f t="shared" ref="X75:X84" si="251">V75+W75</f>
        <v>0</v>
      </c>
      <c r="Y75" s="989"/>
      <c r="Z75" s="990">
        <f t="shared" ref="Z75:Z84" si="252">X75+Y75</f>
        <v>0</v>
      </c>
      <c r="AA75" s="989">
        <v>25</v>
      </c>
      <c r="AB75" s="990">
        <f t="shared" ref="AB75:AB84" si="253">Z75+AA75</f>
        <v>25</v>
      </c>
      <c r="AC75" s="989">
        <v>75</v>
      </c>
      <c r="AD75" s="990">
        <f t="shared" ref="AD75:AD84" si="254">AB75+AC75</f>
        <v>100</v>
      </c>
      <c r="AE75" s="989"/>
      <c r="AF75" s="990">
        <f t="shared" ref="AF75:AF84" si="255">AD75+AE75</f>
        <v>100</v>
      </c>
      <c r="AG75" s="989"/>
      <c r="AH75" s="990">
        <f t="shared" ref="AH75:AH84" si="256">AF75+AG75</f>
        <v>100</v>
      </c>
      <c r="AI75" s="989"/>
      <c r="AJ75" s="990">
        <f t="shared" ref="AJ75:AJ84" si="257">AH75+AI75</f>
        <v>100</v>
      </c>
      <c r="AK75" s="989"/>
      <c r="AL75" s="990">
        <f t="shared" ref="AL75:AL84" si="258">AJ75+AK75</f>
        <v>100</v>
      </c>
      <c r="AM75" s="989"/>
      <c r="AN75" s="990">
        <f t="shared" ref="AN75:AN84" si="259">AL75+AM75</f>
        <v>100</v>
      </c>
      <c r="AP75" s="1018"/>
    </row>
    <row r="76" spans="1:42" s="981" customFormat="1" ht="32.450000000000003" customHeight="1" thickBot="1">
      <c r="A76" s="985" t="s">
        <v>2543</v>
      </c>
      <c r="B76" s="986" t="str">
        <f>'MAQUINARIOS E EQUIPAMENTOS'!G1173</f>
        <v>CASA DE DESIDRATAÇÃO DE LODO</v>
      </c>
      <c r="C76" s="987">
        <f>'MAQUINARIOS E EQUIPAMENTOS'!P1225</f>
        <v>547861.35999999987</v>
      </c>
      <c r="D76" s="988">
        <f t="shared" si="217"/>
        <v>4.6812483485238331E-2</v>
      </c>
      <c r="E76" s="989"/>
      <c r="F76" s="990">
        <f t="shared" si="242"/>
        <v>0</v>
      </c>
      <c r="G76" s="989"/>
      <c r="H76" s="990">
        <f t="shared" si="243"/>
        <v>0</v>
      </c>
      <c r="I76" s="989"/>
      <c r="J76" s="990">
        <f t="shared" si="244"/>
        <v>0</v>
      </c>
      <c r="K76" s="989"/>
      <c r="L76" s="990">
        <f t="shared" si="245"/>
        <v>0</v>
      </c>
      <c r="M76" s="989"/>
      <c r="N76" s="990">
        <f t="shared" si="246"/>
        <v>0</v>
      </c>
      <c r="O76" s="989"/>
      <c r="P76" s="990">
        <f t="shared" si="247"/>
        <v>0</v>
      </c>
      <c r="Q76" s="989"/>
      <c r="R76" s="990">
        <f t="shared" si="248"/>
        <v>0</v>
      </c>
      <c r="S76" s="989"/>
      <c r="T76" s="990">
        <f t="shared" si="249"/>
        <v>0</v>
      </c>
      <c r="U76" s="989"/>
      <c r="V76" s="990">
        <f t="shared" si="250"/>
        <v>0</v>
      </c>
      <c r="W76" s="989"/>
      <c r="X76" s="990">
        <f t="shared" si="251"/>
        <v>0</v>
      </c>
      <c r="Y76" s="989"/>
      <c r="Z76" s="990">
        <f t="shared" si="252"/>
        <v>0</v>
      </c>
      <c r="AA76" s="989">
        <v>30</v>
      </c>
      <c r="AB76" s="990">
        <f t="shared" si="253"/>
        <v>30</v>
      </c>
      <c r="AC76" s="989">
        <v>70</v>
      </c>
      <c r="AD76" s="990">
        <f t="shared" si="254"/>
        <v>100</v>
      </c>
      <c r="AE76" s="989"/>
      <c r="AF76" s="990">
        <f t="shared" si="255"/>
        <v>100</v>
      </c>
      <c r="AG76" s="989"/>
      <c r="AH76" s="990">
        <f t="shared" si="256"/>
        <v>100</v>
      </c>
      <c r="AI76" s="989"/>
      <c r="AJ76" s="990">
        <f t="shared" si="257"/>
        <v>100</v>
      </c>
      <c r="AK76" s="989"/>
      <c r="AL76" s="990">
        <f t="shared" si="258"/>
        <v>100</v>
      </c>
      <c r="AM76" s="989"/>
      <c r="AN76" s="990">
        <f t="shared" si="259"/>
        <v>100</v>
      </c>
      <c r="AP76" s="1018"/>
    </row>
    <row r="77" spans="1:42" s="981" customFormat="1" ht="32.450000000000003" customHeight="1" thickBot="1">
      <c r="A77" s="985" t="s">
        <v>2544</v>
      </c>
      <c r="B77" s="986" t="str">
        <f>'MAQUINARIOS E EQUIPAMENTOS'!G1227</f>
        <v>INSTALAÇÕES ELÉTRICAS DA UN. DE DESIDRATAÇÃO MECANIZADA DE LODO (DESIDRATAÇÃO DE LODO)</v>
      </c>
      <c r="C77" s="987">
        <f>'MAQUINARIOS E EQUIPAMENTOS'!P1289</f>
        <v>12195.239999999993</v>
      </c>
      <c r="D77" s="988">
        <f t="shared" si="217"/>
        <v>1.0420327345197656E-3</v>
      </c>
      <c r="E77" s="989"/>
      <c r="F77" s="990">
        <f t="shared" si="242"/>
        <v>0</v>
      </c>
      <c r="G77" s="989"/>
      <c r="H77" s="990">
        <f t="shared" si="243"/>
        <v>0</v>
      </c>
      <c r="I77" s="989"/>
      <c r="J77" s="990">
        <f t="shared" si="244"/>
        <v>0</v>
      </c>
      <c r="K77" s="989"/>
      <c r="L77" s="990">
        <f t="shared" si="245"/>
        <v>0</v>
      </c>
      <c r="M77" s="989"/>
      <c r="N77" s="990">
        <f t="shared" si="246"/>
        <v>0</v>
      </c>
      <c r="O77" s="989"/>
      <c r="P77" s="990">
        <f t="shared" si="247"/>
        <v>0</v>
      </c>
      <c r="Q77" s="989"/>
      <c r="R77" s="990">
        <f t="shared" si="248"/>
        <v>0</v>
      </c>
      <c r="S77" s="989"/>
      <c r="T77" s="990">
        <f t="shared" si="249"/>
        <v>0</v>
      </c>
      <c r="U77" s="989"/>
      <c r="V77" s="990">
        <f t="shared" si="250"/>
        <v>0</v>
      </c>
      <c r="W77" s="989"/>
      <c r="X77" s="990">
        <f t="shared" si="251"/>
        <v>0</v>
      </c>
      <c r="Y77" s="989"/>
      <c r="Z77" s="990">
        <f t="shared" si="252"/>
        <v>0</v>
      </c>
      <c r="AA77" s="989"/>
      <c r="AB77" s="990">
        <f t="shared" si="253"/>
        <v>0</v>
      </c>
      <c r="AC77" s="989">
        <v>70</v>
      </c>
      <c r="AD77" s="990">
        <f t="shared" si="254"/>
        <v>70</v>
      </c>
      <c r="AE77" s="989">
        <v>30</v>
      </c>
      <c r="AF77" s="990">
        <f t="shared" si="255"/>
        <v>100</v>
      </c>
      <c r="AG77" s="989"/>
      <c r="AH77" s="990">
        <f t="shared" si="256"/>
        <v>100</v>
      </c>
      <c r="AI77" s="989"/>
      <c r="AJ77" s="990">
        <f t="shared" si="257"/>
        <v>100</v>
      </c>
      <c r="AK77" s="989"/>
      <c r="AL77" s="990">
        <f t="shared" si="258"/>
        <v>100</v>
      </c>
      <c r="AM77" s="989"/>
      <c r="AN77" s="990">
        <f t="shared" si="259"/>
        <v>100</v>
      </c>
      <c r="AP77" s="1018"/>
    </row>
    <row r="78" spans="1:42" s="981" customFormat="1" ht="32.450000000000003" customHeight="1" thickBot="1">
      <c r="A78" s="985" t="s">
        <v>2545</v>
      </c>
      <c r="B78" s="986" t="str">
        <f>'MAQUINARIOS E EQUIPAMENTOS'!G1291</f>
        <v>INTERLIGAÇÕES</v>
      </c>
      <c r="C78" s="987">
        <f>'MAQUINARIOS E EQUIPAMENTOS'!P1371</f>
        <v>301324.2099999999</v>
      </c>
      <c r="D78" s="988">
        <f t="shared" si="217"/>
        <v>2.5746905392867066E-2</v>
      </c>
      <c r="E78" s="989"/>
      <c r="F78" s="990">
        <f t="shared" si="242"/>
        <v>0</v>
      </c>
      <c r="G78" s="989"/>
      <c r="H78" s="990">
        <f t="shared" si="243"/>
        <v>0</v>
      </c>
      <c r="I78" s="989"/>
      <c r="J78" s="990">
        <f t="shared" si="244"/>
        <v>0</v>
      </c>
      <c r="K78" s="989"/>
      <c r="L78" s="990">
        <f t="shared" si="245"/>
        <v>0</v>
      </c>
      <c r="M78" s="989"/>
      <c r="N78" s="990">
        <f t="shared" si="246"/>
        <v>0</v>
      </c>
      <c r="O78" s="989"/>
      <c r="P78" s="990">
        <f t="shared" si="247"/>
        <v>0</v>
      </c>
      <c r="Q78" s="989"/>
      <c r="R78" s="990">
        <f t="shared" si="248"/>
        <v>0</v>
      </c>
      <c r="S78" s="989"/>
      <c r="T78" s="990">
        <f t="shared" si="249"/>
        <v>0</v>
      </c>
      <c r="U78" s="989"/>
      <c r="V78" s="990">
        <f t="shared" si="250"/>
        <v>0</v>
      </c>
      <c r="W78" s="989"/>
      <c r="X78" s="990">
        <f t="shared" si="251"/>
        <v>0</v>
      </c>
      <c r="Y78" s="989"/>
      <c r="Z78" s="990">
        <f t="shared" si="252"/>
        <v>0</v>
      </c>
      <c r="AA78" s="989"/>
      <c r="AB78" s="990">
        <f t="shared" si="253"/>
        <v>0</v>
      </c>
      <c r="AC78" s="989">
        <v>15</v>
      </c>
      <c r="AD78" s="990">
        <f t="shared" si="254"/>
        <v>15</v>
      </c>
      <c r="AE78" s="989">
        <v>50</v>
      </c>
      <c r="AF78" s="990">
        <f t="shared" si="255"/>
        <v>65</v>
      </c>
      <c r="AG78" s="989">
        <v>35</v>
      </c>
      <c r="AH78" s="990">
        <f t="shared" si="256"/>
        <v>100</v>
      </c>
      <c r="AI78" s="989"/>
      <c r="AJ78" s="990">
        <f t="shared" si="257"/>
        <v>100</v>
      </c>
      <c r="AK78" s="989"/>
      <c r="AL78" s="990">
        <f t="shared" si="258"/>
        <v>100</v>
      </c>
      <c r="AM78" s="989"/>
      <c r="AN78" s="990">
        <f t="shared" si="259"/>
        <v>100</v>
      </c>
      <c r="AP78" s="1018"/>
    </row>
    <row r="79" spans="1:42" s="981" customFormat="1" ht="32.450000000000003" customHeight="1" thickBot="1">
      <c r="A79" s="985" t="s">
        <v>2546</v>
      </c>
      <c r="B79" s="986" t="str">
        <f>'MAQUINARIOS E EQUIPAMENTOS'!G1374</f>
        <v>ESTAÇÃO ELEVATÓRIA DE ÁGUA PARA LAVAGEM DOS FILTROS</v>
      </c>
      <c r="C79" s="987">
        <f>'MAQUINARIOS E EQUIPAMENTOS'!P1455</f>
        <v>396976.11000000004</v>
      </c>
      <c r="D79" s="988">
        <f t="shared" si="217"/>
        <v>3.3919963973018941E-2</v>
      </c>
      <c r="E79" s="989"/>
      <c r="F79" s="990">
        <f t="shared" si="242"/>
        <v>0</v>
      </c>
      <c r="G79" s="989"/>
      <c r="H79" s="990">
        <f t="shared" si="243"/>
        <v>0</v>
      </c>
      <c r="I79" s="989"/>
      <c r="J79" s="990">
        <f t="shared" si="244"/>
        <v>0</v>
      </c>
      <c r="K79" s="989"/>
      <c r="L79" s="990">
        <f t="shared" si="245"/>
        <v>0</v>
      </c>
      <c r="M79" s="989"/>
      <c r="N79" s="990">
        <f t="shared" si="246"/>
        <v>0</v>
      </c>
      <c r="O79" s="989"/>
      <c r="P79" s="990">
        <f t="shared" si="247"/>
        <v>0</v>
      </c>
      <c r="Q79" s="989"/>
      <c r="R79" s="990">
        <f t="shared" si="248"/>
        <v>0</v>
      </c>
      <c r="S79" s="989"/>
      <c r="T79" s="990">
        <f t="shared" si="249"/>
        <v>0</v>
      </c>
      <c r="U79" s="989"/>
      <c r="V79" s="990">
        <f t="shared" si="250"/>
        <v>0</v>
      </c>
      <c r="W79" s="989"/>
      <c r="X79" s="990">
        <f t="shared" si="251"/>
        <v>0</v>
      </c>
      <c r="Y79" s="989"/>
      <c r="Z79" s="990">
        <f t="shared" si="252"/>
        <v>0</v>
      </c>
      <c r="AA79" s="989">
        <v>15</v>
      </c>
      <c r="AB79" s="990">
        <f t="shared" si="253"/>
        <v>15</v>
      </c>
      <c r="AC79" s="989">
        <v>25</v>
      </c>
      <c r="AD79" s="990">
        <f t="shared" si="254"/>
        <v>40</v>
      </c>
      <c r="AE79" s="989">
        <v>50</v>
      </c>
      <c r="AF79" s="990">
        <f t="shared" si="255"/>
        <v>90</v>
      </c>
      <c r="AG79" s="989">
        <v>10</v>
      </c>
      <c r="AH79" s="990">
        <f t="shared" si="256"/>
        <v>100</v>
      </c>
      <c r="AI79" s="989"/>
      <c r="AJ79" s="990">
        <f t="shared" si="257"/>
        <v>100</v>
      </c>
      <c r="AK79" s="989"/>
      <c r="AL79" s="990">
        <f t="shared" si="258"/>
        <v>100</v>
      </c>
      <c r="AM79" s="989"/>
      <c r="AN79" s="990">
        <f t="shared" si="259"/>
        <v>100</v>
      </c>
      <c r="AP79" s="1018"/>
    </row>
    <row r="80" spans="1:42" s="981" customFormat="1" ht="32.450000000000003" customHeight="1" thickBot="1">
      <c r="A80" s="985" t="s">
        <v>2547</v>
      </c>
      <c r="B80" s="986" t="str">
        <f>'MAQUINARIOS E EQUIPAMENTOS'!G1457</f>
        <v>INSTALAÇÕES ELÉTRICAS (ESTAÇÃO ELEVATÓRIA DE ÁGUA PARA LAVAGEM DOS FILTROS)</v>
      </c>
      <c r="C80" s="987">
        <f>'MAQUINARIOS E EQUIPAMENTOS'!P1534</f>
        <v>241124.72999999995</v>
      </c>
      <c r="D80" s="988">
        <f t="shared" si="217"/>
        <v>2.0603109226406388E-2</v>
      </c>
      <c r="E80" s="989"/>
      <c r="F80" s="990">
        <f t="shared" si="242"/>
        <v>0</v>
      </c>
      <c r="G80" s="989"/>
      <c r="H80" s="990">
        <f t="shared" si="243"/>
        <v>0</v>
      </c>
      <c r="I80" s="989"/>
      <c r="J80" s="990">
        <f t="shared" si="244"/>
        <v>0</v>
      </c>
      <c r="K80" s="989"/>
      <c r="L80" s="990">
        <f t="shared" si="245"/>
        <v>0</v>
      </c>
      <c r="M80" s="989"/>
      <c r="N80" s="990">
        <f t="shared" si="246"/>
        <v>0</v>
      </c>
      <c r="O80" s="989"/>
      <c r="P80" s="990">
        <f t="shared" si="247"/>
        <v>0</v>
      </c>
      <c r="Q80" s="989"/>
      <c r="R80" s="990">
        <f t="shared" si="248"/>
        <v>0</v>
      </c>
      <c r="S80" s="989"/>
      <c r="T80" s="990">
        <f t="shared" si="249"/>
        <v>0</v>
      </c>
      <c r="U80" s="989"/>
      <c r="V80" s="990">
        <f t="shared" si="250"/>
        <v>0</v>
      </c>
      <c r="W80" s="989"/>
      <c r="X80" s="990">
        <f t="shared" si="251"/>
        <v>0</v>
      </c>
      <c r="Y80" s="989"/>
      <c r="Z80" s="990">
        <f t="shared" si="252"/>
        <v>0</v>
      </c>
      <c r="AA80" s="989"/>
      <c r="AB80" s="990">
        <f t="shared" si="253"/>
        <v>0</v>
      </c>
      <c r="AC80" s="989">
        <v>25</v>
      </c>
      <c r="AD80" s="990">
        <f t="shared" ref="AD80" si="260">AB80+AC80</f>
        <v>25</v>
      </c>
      <c r="AE80" s="989">
        <v>50</v>
      </c>
      <c r="AF80" s="990">
        <f t="shared" ref="AF80" si="261">AD80+AE80</f>
        <v>75</v>
      </c>
      <c r="AG80" s="989">
        <v>10</v>
      </c>
      <c r="AH80" s="990">
        <f t="shared" ref="AH80" si="262">AF80+AG80</f>
        <v>85</v>
      </c>
      <c r="AI80" s="989">
        <v>5</v>
      </c>
      <c r="AJ80" s="990">
        <f t="shared" si="257"/>
        <v>90</v>
      </c>
      <c r="AK80" s="989">
        <v>10</v>
      </c>
      <c r="AL80" s="990">
        <f t="shared" si="258"/>
        <v>100</v>
      </c>
      <c r="AM80" s="989"/>
      <c r="AN80" s="990">
        <f t="shared" si="259"/>
        <v>100</v>
      </c>
      <c r="AP80" s="1018"/>
    </row>
    <row r="81" spans="1:42" s="981" customFormat="1" ht="32.450000000000003" customHeight="1" thickBot="1">
      <c r="A81" s="985" t="s">
        <v>2548</v>
      </c>
      <c r="B81" s="986" t="str">
        <f>'MAQUINARIOS E EQUIPAMENTOS'!G1537</f>
        <v>PORTARIA</v>
      </c>
      <c r="C81" s="987">
        <f>'MAQUINARIOS E EQUIPAMENTOS'!P1573</f>
        <v>406.68000000000012</v>
      </c>
      <c r="D81" s="988">
        <f t="shared" si="217"/>
        <v>3.4749121171415948E-5</v>
      </c>
      <c r="E81" s="989"/>
      <c r="F81" s="990">
        <f t="shared" si="242"/>
        <v>0</v>
      </c>
      <c r="G81" s="989"/>
      <c r="H81" s="990">
        <f t="shared" si="243"/>
        <v>0</v>
      </c>
      <c r="I81" s="989"/>
      <c r="J81" s="990">
        <f t="shared" si="244"/>
        <v>0</v>
      </c>
      <c r="K81" s="989"/>
      <c r="L81" s="990">
        <f t="shared" si="245"/>
        <v>0</v>
      </c>
      <c r="M81" s="989"/>
      <c r="N81" s="990">
        <f t="shared" si="246"/>
        <v>0</v>
      </c>
      <c r="O81" s="989"/>
      <c r="P81" s="990">
        <f t="shared" si="247"/>
        <v>0</v>
      </c>
      <c r="Q81" s="989"/>
      <c r="R81" s="990">
        <f t="shared" si="248"/>
        <v>0</v>
      </c>
      <c r="S81" s="989"/>
      <c r="T81" s="990">
        <f t="shared" si="249"/>
        <v>0</v>
      </c>
      <c r="U81" s="989"/>
      <c r="V81" s="990">
        <f t="shared" si="250"/>
        <v>0</v>
      </c>
      <c r="W81" s="989"/>
      <c r="X81" s="990">
        <f t="shared" si="251"/>
        <v>0</v>
      </c>
      <c r="Y81" s="989"/>
      <c r="Z81" s="990">
        <f t="shared" si="252"/>
        <v>0</v>
      </c>
      <c r="AA81" s="989">
        <v>10</v>
      </c>
      <c r="AB81" s="990">
        <f t="shared" si="253"/>
        <v>10</v>
      </c>
      <c r="AC81" s="989">
        <v>20</v>
      </c>
      <c r="AD81" s="990">
        <f t="shared" si="254"/>
        <v>30</v>
      </c>
      <c r="AE81" s="989">
        <v>15</v>
      </c>
      <c r="AF81" s="990">
        <f t="shared" si="255"/>
        <v>45</v>
      </c>
      <c r="AG81" s="989"/>
      <c r="AH81" s="990">
        <f t="shared" si="256"/>
        <v>45</v>
      </c>
      <c r="AI81" s="989"/>
      <c r="AJ81" s="990">
        <f t="shared" si="257"/>
        <v>45</v>
      </c>
      <c r="AK81" s="989"/>
      <c r="AL81" s="990">
        <f t="shared" si="258"/>
        <v>45</v>
      </c>
      <c r="AM81" s="989">
        <v>55</v>
      </c>
      <c r="AN81" s="990">
        <f t="shared" si="259"/>
        <v>100</v>
      </c>
      <c r="AP81" s="1018"/>
    </row>
    <row r="82" spans="1:42" s="981" customFormat="1" ht="32.450000000000003" customHeight="1" thickBot="1">
      <c r="A82" s="985" t="s">
        <v>2549</v>
      </c>
      <c r="B82" s="986" t="str">
        <f>'MAQUINARIOS E EQUIPAMENTOS'!G1575</f>
        <v>INSTALAÇÕES ELÉTRICAS (PORTARIA)</v>
      </c>
      <c r="C82" s="987">
        <f>'MAQUINARIOS E EQUIPAMENTOS'!P1622</f>
        <v>8872.1099999999969</v>
      </c>
      <c r="D82" s="988">
        <f t="shared" si="217"/>
        <v>7.5808504336611325E-4</v>
      </c>
      <c r="E82" s="989"/>
      <c r="F82" s="990">
        <f t="shared" si="242"/>
        <v>0</v>
      </c>
      <c r="G82" s="989"/>
      <c r="H82" s="990">
        <f t="shared" si="243"/>
        <v>0</v>
      </c>
      <c r="I82" s="989"/>
      <c r="J82" s="990">
        <f t="shared" si="244"/>
        <v>0</v>
      </c>
      <c r="K82" s="989"/>
      <c r="L82" s="990">
        <f t="shared" si="245"/>
        <v>0</v>
      </c>
      <c r="M82" s="989"/>
      <c r="N82" s="990">
        <f t="shared" si="246"/>
        <v>0</v>
      </c>
      <c r="O82" s="989"/>
      <c r="P82" s="990">
        <f t="shared" si="247"/>
        <v>0</v>
      </c>
      <c r="Q82" s="989"/>
      <c r="R82" s="990">
        <f t="shared" si="248"/>
        <v>0</v>
      </c>
      <c r="S82" s="989"/>
      <c r="T82" s="990">
        <f t="shared" si="249"/>
        <v>0</v>
      </c>
      <c r="U82" s="989"/>
      <c r="V82" s="990">
        <f t="shared" si="250"/>
        <v>0</v>
      </c>
      <c r="W82" s="989"/>
      <c r="X82" s="990">
        <f t="shared" si="251"/>
        <v>0</v>
      </c>
      <c r="Y82" s="989"/>
      <c r="Z82" s="990">
        <f t="shared" si="252"/>
        <v>0</v>
      </c>
      <c r="AA82" s="989"/>
      <c r="AB82" s="990">
        <f t="shared" si="253"/>
        <v>0</v>
      </c>
      <c r="AC82" s="989"/>
      <c r="AD82" s="990">
        <f t="shared" si="254"/>
        <v>0</v>
      </c>
      <c r="AE82" s="989">
        <v>25</v>
      </c>
      <c r="AF82" s="990">
        <f t="shared" si="255"/>
        <v>25</v>
      </c>
      <c r="AG82" s="989">
        <v>50</v>
      </c>
      <c r="AH82" s="990">
        <f t="shared" si="256"/>
        <v>75</v>
      </c>
      <c r="AI82" s="989">
        <v>10</v>
      </c>
      <c r="AJ82" s="990">
        <f t="shared" si="257"/>
        <v>85</v>
      </c>
      <c r="AK82" s="989"/>
      <c r="AL82" s="990">
        <f t="shared" si="258"/>
        <v>85</v>
      </c>
      <c r="AM82" s="989">
        <v>15</v>
      </c>
      <c r="AN82" s="990">
        <f t="shared" si="259"/>
        <v>100</v>
      </c>
      <c r="AP82" s="1018"/>
    </row>
    <row r="83" spans="1:42" s="981" customFormat="1" ht="32.450000000000003" customHeight="1" thickBot="1">
      <c r="A83" s="985" t="s">
        <v>2550</v>
      </c>
      <c r="B83" s="986" t="str">
        <f>'MAQUINARIOS E EQUIPAMENTOS'!G1624</f>
        <v xml:space="preserve">SALA DO QDG </v>
      </c>
      <c r="C83" s="987">
        <f>'MAQUINARIOS E EQUIPAMENTOS'!P1669</f>
        <v>46672.060000000005</v>
      </c>
      <c r="D83" s="988">
        <f t="shared" si="217"/>
        <v>3.9879341700098233E-3</v>
      </c>
      <c r="E83" s="989"/>
      <c r="F83" s="990">
        <f t="shared" si="242"/>
        <v>0</v>
      </c>
      <c r="G83" s="989"/>
      <c r="H83" s="990">
        <f t="shared" si="243"/>
        <v>0</v>
      </c>
      <c r="I83" s="989"/>
      <c r="J83" s="990">
        <f t="shared" si="244"/>
        <v>0</v>
      </c>
      <c r="K83" s="989"/>
      <c r="L83" s="990">
        <f t="shared" si="245"/>
        <v>0</v>
      </c>
      <c r="M83" s="989"/>
      <c r="N83" s="990">
        <f t="shared" si="246"/>
        <v>0</v>
      </c>
      <c r="O83" s="989"/>
      <c r="P83" s="990">
        <f t="shared" si="247"/>
        <v>0</v>
      </c>
      <c r="Q83" s="989"/>
      <c r="R83" s="990">
        <f t="shared" si="248"/>
        <v>0</v>
      </c>
      <c r="S83" s="989"/>
      <c r="T83" s="990">
        <f t="shared" si="249"/>
        <v>0</v>
      </c>
      <c r="U83" s="989"/>
      <c r="V83" s="990">
        <f t="shared" si="250"/>
        <v>0</v>
      </c>
      <c r="W83" s="989"/>
      <c r="X83" s="990">
        <f t="shared" si="251"/>
        <v>0</v>
      </c>
      <c r="Y83" s="989"/>
      <c r="Z83" s="990">
        <f t="shared" si="252"/>
        <v>0</v>
      </c>
      <c r="AA83" s="989"/>
      <c r="AB83" s="990">
        <f t="shared" si="253"/>
        <v>0</v>
      </c>
      <c r="AC83" s="989">
        <v>15</v>
      </c>
      <c r="AD83" s="990">
        <f t="shared" ref="AD83" si="263">AB83+AC83</f>
        <v>15</v>
      </c>
      <c r="AE83" s="989">
        <v>50</v>
      </c>
      <c r="AF83" s="990">
        <f t="shared" ref="AF83" si="264">AD83+AE83</f>
        <v>65</v>
      </c>
      <c r="AG83" s="989">
        <v>35</v>
      </c>
      <c r="AH83" s="990">
        <f t="shared" ref="AH83" si="265">AF83+AG83</f>
        <v>100</v>
      </c>
      <c r="AI83" s="989"/>
      <c r="AJ83" s="990">
        <f t="shared" ref="AJ83" si="266">AH83+AI83</f>
        <v>100</v>
      </c>
      <c r="AK83" s="989"/>
      <c r="AL83" s="990">
        <f t="shared" ref="AL83" si="267">AJ83+AK83</f>
        <v>100</v>
      </c>
      <c r="AM83" s="989"/>
      <c r="AN83" s="990">
        <f t="shared" ref="AN83" si="268">AL83+AM83</f>
        <v>100</v>
      </c>
      <c r="AP83" s="1018"/>
    </row>
    <row r="84" spans="1:42" s="981" customFormat="1" ht="32.450000000000003" customHeight="1" thickBot="1">
      <c r="A84" s="985" t="s">
        <v>2551</v>
      </c>
      <c r="B84" s="986" t="str">
        <f>'MAQUINARIOS E EQUIPAMENTOS'!G1685</f>
        <v>REDE DE DISTRIBUIÇÃO DE ÁGUA POTÁVEL</v>
      </c>
      <c r="C84" s="987">
        <f>'MAQUINARIOS E EQUIPAMENTOS'!P1732</f>
        <v>17267.159999999996</v>
      </c>
      <c r="D84" s="988">
        <f t="shared" si="217"/>
        <v>1.4754072861370765E-3</v>
      </c>
      <c r="E84" s="989"/>
      <c r="F84" s="990">
        <f t="shared" si="242"/>
        <v>0</v>
      </c>
      <c r="G84" s="989"/>
      <c r="H84" s="990">
        <f t="shared" si="243"/>
        <v>0</v>
      </c>
      <c r="I84" s="989"/>
      <c r="J84" s="990">
        <f t="shared" si="244"/>
        <v>0</v>
      </c>
      <c r="K84" s="989"/>
      <c r="L84" s="990">
        <f t="shared" si="245"/>
        <v>0</v>
      </c>
      <c r="M84" s="989"/>
      <c r="N84" s="990">
        <f t="shared" si="246"/>
        <v>0</v>
      </c>
      <c r="O84" s="989"/>
      <c r="P84" s="990">
        <f t="shared" si="247"/>
        <v>0</v>
      </c>
      <c r="Q84" s="989"/>
      <c r="R84" s="990">
        <f t="shared" si="248"/>
        <v>0</v>
      </c>
      <c r="S84" s="989"/>
      <c r="T84" s="990">
        <f t="shared" si="249"/>
        <v>0</v>
      </c>
      <c r="U84" s="989"/>
      <c r="V84" s="990">
        <f t="shared" si="250"/>
        <v>0</v>
      </c>
      <c r="W84" s="989"/>
      <c r="X84" s="990">
        <f t="shared" si="251"/>
        <v>0</v>
      </c>
      <c r="Y84" s="989"/>
      <c r="Z84" s="990">
        <f t="shared" si="252"/>
        <v>0</v>
      </c>
      <c r="AA84" s="989"/>
      <c r="AB84" s="990">
        <f t="shared" si="253"/>
        <v>0</v>
      </c>
      <c r="AC84" s="989">
        <v>5</v>
      </c>
      <c r="AD84" s="990">
        <f t="shared" si="254"/>
        <v>5</v>
      </c>
      <c r="AE84" s="989">
        <v>25</v>
      </c>
      <c r="AF84" s="990">
        <f t="shared" si="255"/>
        <v>30</v>
      </c>
      <c r="AG84" s="989">
        <v>50</v>
      </c>
      <c r="AH84" s="990">
        <f t="shared" si="256"/>
        <v>80</v>
      </c>
      <c r="AI84" s="989">
        <v>10</v>
      </c>
      <c r="AJ84" s="990">
        <f t="shared" si="257"/>
        <v>90</v>
      </c>
      <c r="AK84" s="989"/>
      <c r="AL84" s="990">
        <f t="shared" si="258"/>
        <v>90</v>
      </c>
      <c r="AM84" s="989">
        <v>10</v>
      </c>
      <c r="AN84" s="990">
        <f t="shared" si="259"/>
        <v>100</v>
      </c>
      <c r="AP84" s="1018"/>
    </row>
    <row r="85" spans="1:42" s="981" customFormat="1" ht="17.25" thickBot="1">
      <c r="A85" s="985"/>
      <c r="B85" s="986"/>
      <c r="C85" s="987"/>
      <c r="D85" s="991"/>
      <c r="E85" s="989"/>
      <c r="F85" s="990"/>
      <c r="G85" s="989"/>
      <c r="H85" s="990"/>
      <c r="I85" s="989"/>
      <c r="J85" s="990"/>
      <c r="K85" s="989"/>
      <c r="L85" s="990"/>
      <c r="M85" s="989"/>
      <c r="N85" s="990"/>
      <c r="O85" s="989"/>
      <c r="P85" s="990"/>
      <c r="Q85" s="989"/>
      <c r="R85" s="990"/>
      <c r="S85" s="989"/>
      <c r="T85" s="990"/>
      <c r="U85" s="989"/>
      <c r="V85" s="990"/>
      <c r="W85" s="989"/>
      <c r="X85" s="990"/>
      <c r="Y85" s="989"/>
      <c r="Z85" s="990"/>
      <c r="AA85" s="989"/>
      <c r="AB85" s="990"/>
      <c r="AC85" s="989"/>
      <c r="AD85" s="990"/>
      <c r="AE85" s="989"/>
      <c r="AF85" s="990"/>
      <c r="AG85" s="989"/>
      <c r="AH85" s="990"/>
      <c r="AI85" s="989"/>
      <c r="AJ85" s="990"/>
      <c r="AK85" s="989"/>
      <c r="AL85" s="990"/>
      <c r="AM85" s="989"/>
      <c r="AN85" s="990"/>
    </row>
    <row r="86" spans="1:42" ht="18" hidden="1" thickTop="1" thickBot="1">
      <c r="A86" s="993"/>
      <c r="B86" s="994"/>
      <c r="C86" s="995">
        <f>SUM(C13:C85)</f>
        <v>11703317.560000002</v>
      </c>
      <c r="D86" s="996"/>
      <c r="E86" s="997"/>
      <c r="F86" s="997"/>
      <c r="G86" s="997"/>
      <c r="H86" s="997"/>
      <c r="I86" s="997"/>
      <c r="J86" s="997"/>
      <c r="K86" s="997"/>
      <c r="L86" s="997"/>
      <c r="M86" s="997"/>
      <c r="N86" s="997"/>
      <c r="O86" s="997"/>
      <c r="P86" s="997"/>
      <c r="Q86" s="997"/>
      <c r="R86" s="997"/>
      <c r="S86" s="997"/>
      <c r="T86" s="997"/>
      <c r="U86" s="997"/>
      <c r="V86" s="997"/>
      <c r="W86" s="997"/>
      <c r="X86" s="997"/>
      <c r="Y86" s="997"/>
      <c r="Z86" s="997"/>
      <c r="AA86" s="997"/>
      <c r="AB86" s="997"/>
      <c r="AC86" s="997"/>
      <c r="AD86" s="997"/>
      <c r="AE86" s="997"/>
      <c r="AF86" s="997"/>
      <c r="AG86" s="997"/>
      <c r="AH86" s="997"/>
      <c r="AI86" s="997"/>
      <c r="AJ86" s="997"/>
      <c r="AK86" s="997"/>
      <c r="AL86" s="997"/>
      <c r="AM86" s="997"/>
      <c r="AN86" s="997"/>
    </row>
    <row r="87" spans="1:42" ht="15.75" thickTop="1" thickBot="1">
      <c r="A87" s="999"/>
      <c r="B87" s="1000" t="s">
        <v>2529</v>
      </c>
      <c r="C87" s="1001">
        <f>C86</f>
        <v>11703317.560000002</v>
      </c>
      <c r="D87" s="1002">
        <f>SUM(D13:D85)</f>
        <v>0.99999999999999944</v>
      </c>
      <c r="E87" s="1003">
        <f>SUMPRODUCT(E13:E85,$D$13:$D$85)/100</f>
        <v>6.6037833720031082E-3</v>
      </c>
      <c r="F87" s="1004">
        <f>E87</f>
        <v>6.6037833720031082E-3</v>
      </c>
      <c r="G87" s="1003">
        <f>SUMPRODUCT(G13:G85,$D$13:$D$85)/100</f>
        <v>5.5878166993872458E-3</v>
      </c>
      <c r="H87" s="1005">
        <f>F87+G87</f>
        <v>1.2191600071390354E-2</v>
      </c>
      <c r="I87" s="1003">
        <f>SUMPRODUCT(I13:I85,$D$13:$D$85)/100</f>
        <v>6.7704570002285738E-3</v>
      </c>
      <c r="J87" s="1005">
        <f>H87+I87</f>
        <v>1.8962057071618927E-2</v>
      </c>
      <c r="K87" s="1003">
        <f>SUMPRODUCT(K13:K85,$D$13:$D$85)/100</f>
        <v>2.5743362961433643E-2</v>
      </c>
      <c r="L87" s="1005">
        <f>J87+K87</f>
        <v>4.470542003305257E-2</v>
      </c>
      <c r="M87" s="1003">
        <f>SUMPRODUCT(M13:M85,$D$13:$D$85)/100</f>
        <v>2.9637275757216992E-2</v>
      </c>
      <c r="N87" s="1005">
        <f>L87+M87</f>
        <v>7.4342695790269558E-2</v>
      </c>
      <c r="O87" s="1003">
        <f>SUMPRODUCT(O13:O85,$D$13:$D$85)/100</f>
        <v>9.0248042436267953E-2</v>
      </c>
      <c r="P87" s="1005">
        <f>N87+O87</f>
        <v>0.16459073822653753</v>
      </c>
      <c r="Q87" s="1003">
        <f>SUMPRODUCT(Q13:Q85,$D$13:$D$85)/100</f>
        <v>0.11070203655142037</v>
      </c>
      <c r="R87" s="1005">
        <f>P87+Q87</f>
        <v>0.27529277477795788</v>
      </c>
      <c r="S87" s="1003">
        <f>SUMPRODUCT(S13:S85,$D$13:$D$85)/100</f>
        <v>3.0387211094355705E-2</v>
      </c>
      <c r="T87" s="1005">
        <f>R87+S87</f>
        <v>0.3056799858723136</v>
      </c>
      <c r="U87" s="1003">
        <f>SUMPRODUCT(U13:U85,$D$13:$D$85)/100</f>
        <v>3.6673154180394636E-2</v>
      </c>
      <c r="V87" s="1005">
        <f>T87+U87</f>
        <v>0.34235314005270823</v>
      </c>
      <c r="W87" s="1003">
        <f>SUMPRODUCT(W13:W85,$D$13:$D$85)/100</f>
        <v>6.6019503908941179E-2</v>
      </c>
      <c r="X87" s="1005">
        <f>V87+W87</f>
        <v>0.40837264396164941</v>
      </c>
      <c r="Y87" s="1003">
        <f>SUMPRODUCT(Y13:Y85,$D$13:$D$85)/100</f>
        <v>6.6560395657588201E-2</v>
      </c>
      <c r="Z87" s="1005">
        <f>X87+Y87</f>
        <v>0.47493303961923761</v>
      </c>
      <c r="AA87" s="1003">
        <f>SUMPRODUCT(AA13:AA85,$D$13:$D$85)/100</f>
        <v>0.11432263214602545</v>
      </c>
      <c r="AB87" s="1005">
        <f>Z87+AA87</f>
        <v>0.58925567176526306</v>
      </c>
      <c r="AC87" s="1003">
        <f>SUMPRODUCT(AC13:AC85,$D$13:$D$85)/100</f>
        <v>0.13606619901887032</v>
      </c>
      <c r="AD87" s="1005">
        <f>AB87+AC87</f>
        <v>0.72532187078413335</v>
      </c>
      <c r="AE87" s="1003">
        <f>SUMPRODUCT(AE13:AE85,$D$13:$D$85)/100</f>
        <v>0.11211166454069967</v>
      </c>
      <c r="AF87" s="1005">
        <f>AD87+AE87</f>
        <v>0.837433535324833</v>
      </c>
      <c r="AG87" s="1003">
        <f>SUMPRODUCT(AG13:AG85,$D$13:$D$85)/100</f>
        <v>0.10228185035252514</v>
      </c>
      <c r="AH87" s="1005">
        <f>AF87+AG87</f>
        <v>0.93971538567735813</v>
      </c>
      <c r="AI87" s="1003">
        <f>SUMPRODUCT(AI13:AI85,$D$13:$D$85)/100</f>
        <v>3.081783399885801E-2</v>
      </c>
      <c r="AJ87" s="1005">
        <f>AH87+AI87</f>
        <v>0.97053321967621609</v>
      </c>
      <c r="AK87" s="1003">
        <f>SUMPRODUCT(AK13:AK85,$D$13:$D$85)/100</f>
        <v>2.3427508601244852E-2</v>
      </c>
      <c r="AL87" s="1005">
        <f>AJ87+AK87</f>
        <v>0.99396072827746096</v>
      </c>
      <c r="AM87" s="1003">
        <f>SUMPRODUCT(AM13:AM85,$D$13:$D$85)/100</f>
        <v>6.0392717225388184E-3</v>
      </c>
      <c r="AN87" s="1005">
        <f>AL87+AM87</f>
        <v>0.99999999999999978</v>
      </c>
    </row>
    <row r="88" spans="1:42" ht="15.75" thickTop="1" thickBot="1">
      <c r="A88" s="1006"/>
      <c r="B88" s="1007" t="s">
        <v>2530</v>
      </c>
      <c r="C88" s="1008"/>
      <c r="D88" s="1009"/>
      <c r="E88" s="1066">
        <f>E87*$C$87</f>
        <v>77286.173900000009</v>
      </c>
      <c r="F88" s="1066"/>
      <c r="G88" s="1066">
        <f>G87*$C$87</f>
        <v>65395.993300000009</v>
      </c>
      <c r="H88" s="1066"/>
      <c r="I88" s="1066">
        <f>I87*$C$87</f>
        <v>79236.808300000004</v>
      </c>
      <c r="J88" s="1066"/>
      <c r="K88" s="1066">
        <f>K87*$C$87</f>
        <v>301282.75180000003</v>
      </c>
      <c r="L88" s="1066"/>
      <c r="M88" s="1066">
        <f>M87*$C$87</f>
        <v>346854.4498</v>
      </c>
      <c r="N88" s="1066"/>
      <c r="O88" s="1066">
        <f>O87*$C$87</f>
        <v>1056201.4998000001</v>
      </c>
      <c r="P88" s="1066"/>
      <c r="Q88" s="1066">
        <f>Q87*$C$87</f>
        <v>1295581.0883000002</v>
      </c>
      <c r="R88" s="1066"/>
      <c r="S88" s="1066">
        <f>S87*$C$87</f>
        <v>355631.18119999999</v>
      </c>
      <c r="T88" s="1066"/>
      <c r="U88" s="1066">
        <f>U87*$C$87</f>
        <v>429197.56930000003</v>
      </c>
      <c r="V88" s="1066"/>
      <c r="W88" s="1066">
        <f>W87*$C$87</f>
        <v>772647.21940000006</v>
      </c>
      <c r="X88" s="1066"/>
      <c r="Y88" s="1066">
        <f>Y87*$C$87</f>
        <v>778977.44729999988</v>
      </c>
      <c r="Z88" s="1066"/>
      <c r="AA88" s="1066">
        <f>AA87*$C$87</f>
        <v>1337954.0683000004</v>
      </c>
      <c r="AB88" s="1066"/>
      <c r="AC88" s="1066">
        <f>AC87*$C$87</f>
        <v>1592425.9363000002</v>
      </c>
      <c r="AD88" s="1066"/>
      <c r="AE88" s="1066">
        <f>AE87*$C$87</f>
        <v>1312078.4123</v>
      </c>
      <c r="AF88" s="1066"/>
      <c r="AG88" s="1066">
        <f>AG87*$C$87</f>
        <v>1197036.9752999998</v>
      </c>
      <c r="AH88" s="1066"/>
      <c r="AI88" s="1066">
        <f>AI87*$C$87</f>
        <v>360670.89780000004</v>
      </c>
      <c r="AJ88" s="1066"/>
      <c r="AK88" s="1066">
        <f>AK87*$C$87</f>
        <v>274179.57279999997</v>
      </c>
      <c r="AL88" s="1066"/>
      <c r="AM88" s="1066">
        <f>AM87*$C$87</f>
        <v>70679.514800000019</v>
      </c>
      <c r="AN88" s="1066"/>
    </row>
    <row r="89" spans="1:42" ht="15.75" hidden="1" thickTop="1">
      <c r="K89" s="1067">
        <f>E88+G88+I88+K88+M88+O88+Q88</f>
        <v>3221838.7652000003</v>
      </c>
      <c r="L89" s="1067"/>
      <c r="M89" s="1067"/>
      <c r="N89" s="1067"/>
      <c r="O89" s="1067"/>
      <c r="P89" s="1067"/>
      <c r="S89" s="1067"/>
      <c r="T89" s="1067"/>
      <c r="U89" s="1067"/>
      <c r="V89" s="1067"/>
    </row>
    <row r="90" spans="1:42" ht="15.75" hidden="1" thickTop="1"/>
    <row r="91" spans="1:42" ht="15.75" thickTop="1"/>
    <row r="170" spans="3:10" s="1010" customFormat="1" ht="90" customHeight="1">
      <c r="C170" s="1014"/>
      <c r="D170" s="1012"/>
      <c r="E170" s="1012"/>
      <c r="F170" s="1015"/>
      <c r="H170" s="1016"/>
      <c r="I170" s="1012"/>
      <c r="J170" s="1015"/>
    </row>
  </sheetData>
  <sheetProtection selectLockedCells="1" selectUnlockedCells="1"/>
  <mergeCells count="46">
    <mergeCell ref="A1:P1"/>
    <mergeCell ref="A8:X8"/>
    <mergeCell ref="C10:C12"/>
    <mergeCell ref="D10:D12"/>
    <mergeCell ref="E10:F11"/>
    <mergeCell ref="G10:H11"/>
    <mergeCell ref="I10:J11"/>
    <mergeCell ref="K10:L11"/>
    <mergeCell ref="M10:N11"/>
    <mergeCell ref="O10:P11"/>
    <mergeCell ref="AM10:AN11"/>
    <mergeCell ref="Q10:R11"/>
    <mergeCell ref="S10:T11"/>
    <mergeCell ref="U10:V11"/>
    <mergeCell ref="W10:X11"/>
    <mergeCell ref="Y10:Z11"/>
    <mergeCell ref="AA10:AB11"/>
    <mergeCell ref="AC10:AD11"/>
    <mergeCell ref="AE10:AF11"/>
    <mergeCell ref="AG10:AH11"/>
    <mergeCell ref="AI10:AJ11"/>
    <mergeCell ref="AK10:AL11"/>
    <mergeCell ref="W88:X88"/>
    <mergeCell ref="Y88:Z88"/>
    <mergeCell ref="A11:B11"/>
    <mergeCell ref="E88:F88"/>
    <mergeCell ref="G88:H88"/>
    <mergeCell ref="I88:J88"/>
    <mergeCell ref="K88:L88"/>
    <mergeCell ref="M88:N88"/>
    <mergeCell ref="AM88:AN88"/>
    <mergeCell ref="K89:L89"/>
    <mergeCell ref="M89:N89"/>
    <mergeCell ref="O89:P89"/>
    <mergeCell ref="S89:T89"/>
    <mergeCell ref="U89:V89"/>
    <mergeCell ref="AA88:AB88"/>
    <mergeCell ref="AC88:AD88"/>
    <mergeCell ref="AE88:AF88"/>
    <mergeCell ref="AG88:AH88"/>
    <mergeCell ref="AI88:AJ88"/>
    <mergeCell ref="AK88:AL88"/>
    <mergeCell ref="O88:P88"/>
    <mergeCell ref="Q88:R88"/>
    <mergeCell ref="S88:T88"/>
    <mergeCell ref="U88:V88"/>
  </mergeCells>
  <printOptions horizontalCentered="1"/>
  <pageMargins left="0.11811023622047245" right="0.27559055118110237" top="0.6692913385826772" bottom="0.39370078740157483" header="0.51181102362204722" footer="0.11811023622047245"/>
  <pageSetup paperSize="9" scale="60" firstPageNumber="0" orientation="landscape" horizontalDpi="300" verticalDpi="300" r:id="rId1"/>
  <headerFooter alignWithMargins="0">
    <oddFooter>&amp;L&amp;A&amp;RPágina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9</vt:i4>
      </vt:variant>
    </vt:vector>
  </HeadingPairs>
  <TitlesOfParts>
    <vt:vector size="13" baseType="lpstr">
      <vt:lpstr>OBRAS E SERVIÇOS</vt:lpstr>
      <vt:lpstr>MAQUINARIOS E EQUIPAMENTOS</vt:lpstr>
      <vt:lpstr>Itens de Relevancia</vt:lpstr>
      <vt:lpstr>Cronograma  GERAL</vt:lpstr>
      <vt:lpstr>'Cronograma  GERAL'!__xlnm.Print_Area</vt:lpstr>
      <vt:lpstr>'Cronograma  GERAL'!__xlnm.Print_Titles</vt:lpstr>
      <vt:lpstr>'Cronograma  GERAL'!Area_de_impressao</vt:lpstr>
      <vt:lpstr>'Itens de Relevancia'!Area_de_impressao</vt:lpstr>
      <vt:lpstr>'MAQUINARIOS E EQUIPAMENTOS'!Area_de_impressao</vt:lpstr>
      <vt:lpstr>'OBRAS E SERVIÇOS'!Area_de_impressao</vt:lpstr>
      <vt:lpstr>'Cronograma  GERAL'!Titulos_de_impressao</vt:lpstr>
      <vt:lpstr>'MAQUINARIOS E EQUIPAMENTOS'!Titulos_de_impressao</vt:lpstr>
      <vt:lpstr>'OBRAS E SERVIÇOS'!Titulos_de_impressao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2014-10-16T11:24:18Z</dcterms:created>
  <dcterms:modified xsi:type="dcterms:W3CDTF">2017-07-10T15:44:49Z</dcterms:modified>
</cp:coreProperties>
</file>